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amírez\Desktop\"/>
    </mc:Choice>
  </mc:AlternateContent>
  <xr:revisionPtr revIDLastSave="0" documentId="8_{08B95097-6118-495A-9131-6CA8FDB6807E}" xr6:coauthVersionLast="47" xr6:coauthVersionMax="47" xr10:uidLastSave="{00000000-0000-0000-0000-000000000000}"/>
  <bookViews>
    <workbookView xWindow="28680" yWindow="-120" windowWidth="20730" windowHeight="11160" tabRatio="927" firstSheet="2" activeTab="11" xr2:uid="{00000000-000D-0000-FFFF-FFFF00000000}"/>
  </bookViews>
  <sheets>
    <sheet name="Tabla Homol.Dic.2015-Nov.2016" sheetId="1" r:id="rId1"/>
    <sheet name="Tabla Homol.Dic.2016-Nov.2017" sheetId="3" r:id="rId2"/>
    <sheet name="Hoja2" sheetId="2" r:id="rId3"/>
    <sheet name="EUS 2017" sheetId="4" r:id="rId4"/>
    <sheet name="EUS 2018" sheetId="5" r:id="rId5"/>
    <sheet name="EUS 2019 " sheetId="7" r:id="rId6"/>
    <sheet name="EUS 2020" sheetId="9" r:id="rId7"/>
    <sheet name="EUS 2021" sheetId="14" r:id="rId8"/>
    <sheet name="EUS 2022" sheetId="17" r:id="rId9"/>
    <sheet name="EUS 2023" sheetId="18" r:id="rId10"/>
    <sheet name="EUS 2024" sheetId="19" r:id="rId11"/>
    <sheet name="EUS 2024 OK" sheetId="20" r:id="rId12"/>
  </sheets>
  <externalReferences>
    <externalReference r:id="rId13"/>
    <externalReference r:id="rId14"/>
    <externalReference r:id="rId15"/>
  </externalReferences>
  <definedNames>
    <definedName name="_xlnm._FilterDatabase" localSheetId="6" hidden="1">'EUS 2020'!$B$3:$Q$23</definedName>
    <definedName name="_xlnm._FilterDatabase" localSheetId="7" hidden="1">'EUS 2021'!$B$3:$Q$23</definedName>
    <definedName name="_xlnm._FilterDatabase" localSheetId="8" hidden="1">'EUS 2022'!$B$3:$Q$23</definedName>
    <definedName name="_xlnm._FilterDatabase" localSheetId="9" hidden="1">'EUS 2023'!$B$3:$P$23</definedName>
    <definedName name="_xlnm.Print_Area" localSheetId="3">'EUS 2017'!$A$1:$R$52</definedName>
    <definedName name="_xlnm.Print_Area" localSheetId="4">'EUS 2018'!$H$29:$R$52</definedName>
    <definedName name="_xlnm.Print_Area" localSheetId="5">'EUS 2019 '!$H$29:$R$52</definedName>
    <definedName name="_xlnm.Print_Area" localSheetId="9">'EUS 2023'!$R$33:$S$49</definedName>
    <definedName name="_xlnm.Print_Area" localSheetId="0">'Tabla Homol.Dic.2015-Nov.2016'!$A$3:$W$17</definedName>
    <definedName name="_xlnm.Print_Area" localSheetId="1">'Tabla Homol.Dic.2016-Nov.2017'!$A$1:$U$55</definedName>
    <definedName name="Escala_2016" localSheetId="1">'Tabla Homol.Dic.2016-Nov.2017'!$A$3:$U$18</definedName>
    <definedName name="Escala_2016">'Tabla Homol.Dic.2015-Nov.2016'!$A$3:$U$17</definedName>
    <definedName name="Escala2014" localSheetId="4">'EUS 2018'!$B$3:$U$18</definedName>
    <definedName name="Escala2014" localSheetId="5">'EUS 2019 '!$B$3:$U$18</definedName>
    <definedName name="Escala2014" localSheetId="0">'Tabla Homol.Dic.2015-Nov.2016'!$B$3:$U$17</definedName>
    <definedName name="Escala2014" localSheetId="1">'Tabla Homol.Dic.2016-Nov.2017'!$B$3:$U$18</definedName>
    <definedName name="EUS_2016" localSheetId="1">'Tabla Homol.Dic.2016-Nov.2017'!$B$3:$U$18</definedName>
    <definedName name="EUS_2016">'Tabla Homol.Dic.2015-Nov.2016'!$B$3:$U$17</definedName>
    <definedName name="GRADOS" localSheetId="0">'Tabla Homol.Dic.2015-Nov.2016'!$B$3:$U$17</definedName>
    <definedName name="GRADOS" localSheetId="1">'Tabla Homol.Dic.2016-Nov.2017'!$B$3:$U$18</definedName>
    <definedName name="GRADOS">'[1]Tabla Homol.Enero-Nov.2014'!$B$3:$U$17</definedName>
    <definedName name="GRADOS2014" localSheetId="0">'Tabla Homol.Dic.2015-Nov.2016'!$B$3:$U$17</definedName>
    <definedName name="GRADOS2014" localSheetId="1">'Tabla Homol.Dic.2016-Nov.2017'!$B$3:$U$18</definedName>
    <definedName name="Grados2015" localSheetId="0">'Tabla Homol.Dic.2015-Nov.2016'!$A$3:$U$17</definedName>
    <definedName name="Grados2015" localSheetId="1">'Tabla Homol.Dic.2016-Nov.2017'!$A$3:$U$18</definedName>
    <definedName name="Grados2015">'[2]Tabla Homol.Enero-Nov.2015'!$A$3:$U$17</definedName>
    <definedName name="pmg_2015">'[2]Tabla Homol.Enero-Nov.2015'!$J$33:$T$54</definedName>
    <definedName name="pmg_2016">'[2]Escala Comparativa'!$J$35:$T$54</definedName>
    <definedName name="Print_Area" localSheetId="0">'Tabla Homol.Dic.2015-Nov.2016'!$A$1:$U$17</definedName>
    <definedName name="Print_Area" localSheetId="1">'Tabla Homol.Dic.2016-Nov.2017'!$A$1:$U$18</definedName>
  </definedNames>
  <calcPr calcId="191029"/>
</workbook>
</file>

<file path=xl/calcChain.xml><?xml version="1.0" encoding="utf-8"?>
<calcChain xmlns="http://schemas.openxmlformats.org/spreadsheetml/2006/main">
  <c r="Q7" i="20" l="1"/>
  <c r="Q8" i="20"/>
  <c r="Q9" i="20"/>
  <c r="Q10" i="20"/>
  <c r="Q11" i="20"/>
  <c r="Q12" i="20"/>
  <c r="Q13" i="20"/>
  <c r="Q14" i="20"/>
  <c r="Q15" i="20"/>
  <c r="Q6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4" i="20"/>
  <c r="L51" i="20" l="1"/>
  <c r="S48" i="20"/>
  <c r="J48" i="20"/>
  <c r="S47" i="20"/>
  <c r="J47" i="20"/>
  <c r="S46" i="20"/>
  <c r="S45" i="20" s="1"/>
  <c r="S44" i="20" s="1"/>
  <c r="S43" i="20" s="1"/>
  <c r="S42" i="20" s="1"/>
  <c r="S41" i="20" s="1"/>
  <c r="S40" i="20" s="1"/>
  <c r="S39" i="20" s="1"/>
  <c r="S38" i="20" s="1"/>
  <c r="S37" i="20" s="1"/>
  <c r="S36" i="20" s="1"/>
  <c r="S35" i="20" s="1"/>
  <c r="S34" i="20" s="1"/>
  <c r="S33" i="20" s="1"/>
  <c r="J44" i="20"/>
  <c r="J43" i="20"/>
  <c r="J39" i="20"/>
  <c r="J35" i="20"/>
  <c r="L52" i="20"/>
  <c r="L50" i="20"/>
  <c r="L49" i="20"/>
  <c r="K49" i="20"/>
  <c r="C49" i="20"/>
  <c r="I49" i="20"/>
  <c r="R19" i="20"/>
  <c r="R18" i="20" s="1"/>
  <c r="R17" i="20" s="1"/>
  <c r="L48" i="20"/>
  <c r="K48" i="20"/>
  <c r="C48" i="20"/>
  <c r="L47" i="20"/>
  <c r="K47" i="20"/>
  <c r="C47" i="20"/>
  <c r="L46" i="20"/>
  <c r="K46" i="20"/>
  <c r="C46" i="20"/>
  <c r="I46" i="20"/>
  <c r="R16" i="20"/>
  <c r="L45" i="20"/>
  <c r="K45" i="20"/>
  <c r="C45" i="20"/>
  <c r="I45" i="20"/>
  <c r="R15" i="20"/>
  <c r="R14" i="20" s="1"/>
  <c r="R13" i="20" s="1"/>
  <c r="R12" i="20" s="1"/>
  <c r="R11" i="20" s="1"/>
  <c r="R10" i="20" s="1"/>
  <c r="R9" i="20" s="1"/>
  <c r="R8" i="20" s="1"/>
  <c r="R7" i="20" s="1"/>
  <c r="R6" i="20" s="1"/>
  <c r="R5" i="20" s="1"/>
  <c r="R4" i="20" s="1"/>
  <c r="L44" i="20"/>
  <c r="K44" i="20"/>
  <c r="C44" i="20"/>
  <c r="L43" i="20"/>
  <c r="K43" i="20"/>
  <c r="C43" i="20"/>
  <c r="L42" i="20"/>
  <c r="K42" i="20"/>
  <c r="C42" i="20"/>
  <c r="L41" i="20"/>
  <c r="K41" i="20"/>
  <c r="C41" i="20"/>
  <c r="L40" i="20"/>
  <c r="K40" i="20"/>
  <c r="C40" i="20"/>
  <c r="L39" i="20"/>
  <c r="K39" i="20"/>
  <c r="C39" i="20"/>
  <c r="L38" i="20"/>
  <c r="K38" i="20"/>
  <c r="C38" i="20"/>
  <c r="L37" i="20"/>
  <c r="K37" i="20"/>
  <c r="C37" i="20"/>
  <c r="L36" i="20"/>
  <c r="K36" i="20"/>
  <c r="C36" i="20"/>
  <c r="L35" i="20"/>
  <c r="K35" i="20"/>
  <c r="C35" i="20"/>
  <c r="L34" i="20"/>
  <c r="K34" i="20"/>
  <c r="C34" i="20"/>
  <c r="L33" i="20"/>
  <c r="K33" i="20"/>
  <c r="J33" i="20"/>
  <c r="I33" i="20"/>
  <c r="P3" i="20"/>
  <c r="O3" i="20"/>
  <c r="N3" i="20"/>
  <c r="M3" i="20"/>
  <c r="L3" i="20"/>
  <c r="K3" i="20"/>
  <c r="G3" i="20"/>
  <c r="D3" i="20"/>
  <c r="C3" i="20"/>
  <c r="I32" i="20" s="1"/>
  <c r="B3" i="20"/>
  <c r="I40" i="20" l="1"/>
  <c r="B40" i="20"/>
  <c r="D40" i="20" s="1"/>
  <c r="M33" i="20"/>
  <c r="I41" i="20"/>
  <c r="B41" i="20"/>
  <c r="D41" i="20" s="1"/>
  <c r="J36" i="20"/>
  <c r="J40" i="20"/>
  <c r="C33" i="20"/>
  <c r="B33" i="20"/>
  <c r="I34" i="20"/>
  <c r="B34" i="20"/>
  <c r="D34" i="20" s="1"/>
  <c r="I36" i="20"/>
  <c r="B36" i="20"/>
  <c r="D36" i="20" s="1"/>
  <c r="I38" i="20"/>
  <c r="B38" i="20"/>
  <c r="D38" i="20" s="1"/>
  <c r="I42" i="20"/>
  <c r="B42" i="20"/>
  <c r="D42" i="20" s="1"/>
  <c r="I43" i="20"/>
  <c r="M43" i="20" s="1"/>
  <c r="B43" i="20"/>
  <c r="D43" i="20" s="1"/>
  <c r="I44" i="20"/>
  <c r="M44" i="20" s="1"/>
  <c r="B44" i="20"/>
  <c r="D44" i="20" s="1"/>
  <c r="I47" i="20"/>
  <c r="M47" i="20" s="1"/>
  <c r="B47" i="20"/>
  <c r="D47" i="20" s="1"/>
  <c r="I48" i="20"/>
  <c r="M48" i="20" s="1"/>
  <c r="B48" i="20"/>
  <c r="D48" i="20" s="1"/>
  <c r="J37" i="20"/>
  <c r="J41" i="20"/>
  <c r="J45" i="20"/>
  <c r="M45" i="20" s="1"/>
  <c r="J49" i="20"/>
  <c r="M49" i="20" s="1"/>
  <c r="I35" i="20"/>
  <c r="M35" i="20" s="1"/>
  <c r="B35" i="20"/>
  <c r="D35" i="20" s="1"/>
  <c r="I37" i="20"/>
  <c r="B37" i="20"/>
  <c r="D37" i="20" s="1"/>
  <c r="I39" i="20"/>
  <c r="M39" i="20" s="1"/>
  <c r="B39" i="20"/>
  <c r="D39" i="20" s="1"/>
  <c r="J34" i="20"/>
  <c r="J38" i="20"/>
  <c r="J42" i="20"/>
  <c r="J46" i="20"/>
  <c r="M46" i="20" s="1"/>
  <c r="B45" i="20"/>
  <c r="D45" i="20" s="1"/>
  <c r="B46" i="20"/>
  <c r="D46" i="20" s="1"/>
  <c r="B49" i="20"/>
  <c r="D49" i="20" s="1"/>
  <c r="Q46" i="20" l="1"/>
  <c r="P46" i="20"/>
  <c r="O46" i="20"/>
  <c r="N46" i="20"/>
  <c r="F47" i="20"/>
  <c r="E47" i="20"/>
  <c r="F34" i="20"/>
  <c r="E34" i="20"/>
  <c r="F37" i="20"/>
  <c r="E37" i="20"/>
  <c r="Q47" i="20"/>
  <c r="P47" i="20"/>
  <c r="O47" i="20"/>
  <c r="N47" i="20"/>
  <c r="Q43" i="20"/>
  <c r="P43" i="20"/>
  <c r="O43" i="20"/>
  <c r="N43" i="20"/>
  <c r="M38" i="20"/>
  <c r="M34" i="20"/>
  <c r="F41" i="20"/>
  <c r="F54" i="20" s="1"/>
  <c r="E41" i="20"/>
  <c r="E54" i="20" s="1"/>
  <c r="F40" i="20"/>
  <c r="E40" i="20"/>
  <c r="Q39" i="20"/>
  <c r="P39" i="20"/>
  <c r="O39" i="20"/>
  <c r="N39" i="20"/>
  <c r="F38" i="20"/>
  <c r="E38" i="20"/>
  <c r="Q45" i="20"/>
  <c r="P45" i="20"/>
  <c r="O45" i="20"/>
  <c r="N45" i="20"/>
  <c r="M37" i="20"/>
  <c r="F48" i="20"/>
  <c r="E48" i="20"/>
  <c r="F44" i="20"/>
  <c r="E44" i="20"/>
  <c r="F42" i="20"/>
  <c r="E42" i="20"/>
  <c r="F36" i="20"/>
  <c r="E36" i="20"/>
  <c r="D33" i="20"/>
  <c r="M41" i="20"/>
  <c r="M40" i="20"/>
  <c r="F45" i="20"/>
  <c r="E45" i="20"/>
  <c r="Q49" i="20"/>
  <c r="P49" i="20"/>
  <c r="O49" i="20"/>
  <c r="N49" i="20"/>
  <c r="Q35" i="20"/>
  <c r="P35" i="20"/>
  <c r="O35" i="20"/>
  <c r="N35" i="20"/>
  <c r="F43" i="20"/>
  <c r="E43" i="20"/>
  <c r="F49" i="20"/>
  <c r="E49" i="20"/>
  <c r="F46" i="20"/>
  <c r="E46" i="20"/>
  <c r="F39" i="20"/>
  <c r="E39" i="20"/>
  <c r="F35" i="20"/>
  <c r="E35" i="20"/>
  <c r="Q48" i="20"/>
  <c r="P48" i="20"/>
  <c r="O48" i="20"/>
  <c r="N48" i="20"/>
  <c r="Q44" i="20"/>
  <c r="P44" i="20"/>
  <c r="O44" i="20"/>
  <c r="N44" i="20"/>
  <c r="M42" i="20"/>
  <c r="M36" i="20"/>
  <c r="Q33" i="20"/>
  <c r="P33" i="20"/>
  <c r="O33" i="20"/>
  <c r="N33" i="20"/>
  <c r="S48" i="19"/>
  <c r="S47" i="19"/>
  <c r="S46" i="19" s="1"/>
  <c r="S45" i="19" s="1"/>
  <c r="S44" i="19" s="1"/>
  <c r="S43" i="19" s="1"/>
  <c r="S42" i="19" s="1"/>
  <c r="S41" i="19" s="1"/>
  <c r="S40" i="19" s="1"/>
  <c r="S39" i="19" s="1"/>
  <c r="S38" i="19" s="1"/>
  <c r="S37" i="19" s="1"/>
  <c r="S36" i="19" s="1"/>
  <c r="S35" i="19" s="1"/>
  <c r="S34" i="19" s="1"/>
  <c r="S33" i="19" s="1"/>
  <c r="R19" i="19"/>
  <c r="R18" i="19" s="1"/>
  <c r="R17" i="19" s="1"/>
  <c r="R16" i="19" s="1"/>
  <c r="R15" i="19"/>
  <c r="R14" i="19" s="1"/>
  <c r="R13" i="19" s="1"/>
  <c r="R12" i="19"/>
  <c r="R11" i="19" s="1"/>
  <c r="R10" i="19" s="1"/>
  <c r="R9" i="19" s="1"/>
  <c r="R8" i="19" s="1"/>
  <c r="R7" i="19" s="1"/>
  <c r="R6" i="19" s="1"/>
  <c r="R5" i="19" s="1"/>
  <c r="R4" i="19" s="1"/>
  <c r="P3" i="19"/>
  <c r="O3" i="19"/>
  <c r="N3" i="19"/>
  <c r="M3" i="19"/>
  <c r="L3" i="19"/>
  <c r="K3" i="19"/>
  <c r="G3" i="19"/>
  <c r="D3" i="19"/>
  <c r="C3" i="19"/>
  <c r="I32" i="19" s="1"/>
  <c r="B3" i="19"/>
  <c r="R39" i="20" l="1"/>
  <c r="R46" i="20"/>
  <c r="F33" i="20"/>
  <c r="E33" i="20"/>
  <c r="R44" i="20"/>
  <c r="R48" i="20"/>
  <c r="Q41" i="20"/>
  <c r="P41" i="20"/>
  <c r="O41" i="20"/>
  <c r="N41" i="20"/>
  <c r="Q37" i="20"/>
  <c r="P37" i="20"/>
  <c r="O37" i="20"/>
  <c r="N37" i="20"/>
  <c r="Q38" i="20"/>
  <c r="P38" i="20"/>
  <c r="O38" i="20"/>
  <c r="N38" i="20"/>
  <c r="Q36" i="20"/>
  <c r="P36" i="20"/>
  <c r="O36" i="20"/>
  <c r="N36" i="20"/>
  <c r="Q40" i="20"/>
  <c r="P40" i="20"/>
  <c r="O40" i="20"/>
  <c r="N40" i="20"/>
  <c r="Q34" i="20"/>
  <c r="P34" i="20"/>
  <c r="O34" i="20"/>
  <c r="N34" i="20"/>
  <c r="R33" i="20"/>
  <c r="Q42" i="20"/>
  <c r="P42" i="20"/>
  <c r="O42" i="20"/>
  <c r="N42" i="20"/>
  <c r="R35" i="20"/>
  <c r="R49" i="20"/>
  <c r="R45" i="20"/>
  <c r="R43" i="20"/>
  <c r="R47" i="20"/>
  <c r="S48" i="18"/>
  <c r="S47" i="18" s="1"/>
  <c r="S46" i="18" s="1"/>
  <c r="S45" i="18" s="1"/>
  <c r="S44" i="18" s="1"/>
  <c r="S43" i="18" s="1"/>
  <c r="S42" i="18" s="1"/>
  <c r="S41" i="18" s="1"/>
  <c r="S40" i="18" s="1"/>
  <c r="S39" i="18" s="1"/>
  <c r="S38" i="18" s="1"/>
  <c r="S37" i="18" s="1"/>
  <c r="S36" i="18" s="1"/>
  <c r="S35" i="18" s="1"/>
  <c r="S34" i="18" s="1"/>
  <c r="S33" i="18" s="1"/>
  <c r="R19" i="18"/>
  <c r="R18" i="18" s="1"/>
  <c r="R17" i="18" s="1"/>
  <c r="R16" i="18" s="1"/>
  <c r="R15" i="18" s="1"/>
  <c r="R14" i="18" s="1"/>
  <c r="R13" i="18" s="1"/>
  <c r="R12" i="18" s="1"/>
  <c r="R11" i="18" s="1"/>
  <c r="R10" i="18" s="1"/>
  <c r="R9" i="18" s="1"/>
  <c r="R8" i="18" s="1"/>
  <c r="R7" i="18" s="1"/>
  <c r="R6" i="18" s="1"/>
  <c r="R5" i="18" s="1"/>
  <c r="R4" i="18" s="1"/>
  <c r="R42" i="20" l="1"/>
  <c r="R40" i="20"/>
  <c r="R41" i="20"/>
  <c r="R38" i="20"/>
  <c r="R36" i="20"/>
  <c r="R37" i="20"/>
  <c r="R34" i="20"/>
  <c r="S48" i="17"/>
  <c r="S47" i="17" s="1"/>
  <c r="S46" i="17" s="1"/>
  <c r="S45" i="17" s="1"/>
  <c r="S44" i="17" s="1"/>
  <c r="S43" i="17" s="1"/>
  <c r="S42" i="17" s="1"/>
  <c r="S41" i="17" s="1"/>
  <c r="S40" i="17" s="1"/>
  <c r="S39" i="17" s="1"/>
  <c r="S38" i="17" s="1"/>
  <c r="S37" i="17" s="1"/>
  <c r="S36" i="17" s="1"/>
  <c r="S35" i="17" s="1"/>
  <c r="S34" i="17" s="1"/>
  <c r="S33" i="17" s="1"/>
  <c r="U14" i="17"/>
  <c r="U13" i="17" s="1"/>
  <c r="U12" i="17" s="1"/>
  <c r="U11" i="17" s="1"/>
  <c r="U10" i="17" s="1"/>
  <c r="U9" i="17" s="1"/>
  <c r="U8" i="17" s="1"/>
  <c r="U7" i="17" s="1"/>
  <c r="P3" i="18" l="1"/>
  <c r="O3" i="18"/>
  <c r="N3" i="18"/>
  <c r="M3" i="18"/>
  <c r="L3" i="18"/>
  <c r="K3" i="18"/>
  <c r="G3" i="18"/>
  <c r="D3" i="18"/>
  <c r="C3" i="18"/>
  <c r="I32" i="18" s="1"/>
  <c r="B3" i="18"/>
  <c r="C21" i="17" l="1"/>
  <c r="C21" i="20" s="1"/>
  <c r="I50" i="20" l="1"/>
  <c r="B50" i="20"/>
  <c r="C21" i="18"/>
  <c r="B50" i="18" s="1"/>
  <c r="C21" i="19"/>
  <c r="I50" i="18"/>
  <c r="J9" i="17"/>
  <c r="J9" i="18" s="1"/>
  <c r="I50" i="19" l="1"/>
  <c r="B50" i="19"/>
  <c r="L38" i="18"/>
  <c r="J9" i="19"/>
  <c r="L38" i="19" s="1"/>
  <c r="B50" i="17"/>
  <c r="D21" i="17"/>
  <c r="E21" i="17"/>
  <c r="F21" i="17"/>
  <c r="F21" i="20" s="1"/>
  <c r="G21" i="17"/>
  <c r="H21" i="17"/>
  <c r="H21" i="20" s="1"/>
  <c r="K50" i="20" s="1"/>
  <c r="I21" i="17"/>
  <c r="I21" i="20" s="1"/>
  <c r="J21" i="17"/>
  <c r="J21" i="19" s="1"/>
  <c r="L50" i="19" s="1"/>
  <c r="K21" i="17"/>
  <c r="K21" i="20" s="1"/>
  <c r="L21" i="17"/>
  <c r="L21" i="20" s="1"/>
  <c r="M21" i="17"/>
  <c r="M21" i="20" s="1"/>
  <c r="N21" i="17"/>
  <c r="N21" i="20" s="1"/>
  <c r="O21" i="17"/>
  <c r="O21" i="20" s="1"/>
  <c r="P21" i="17"/>
  <c r="C22" i="17"/>
  <c r="D22" i="17"/>
  <c r="E22" i="17"/>
  <c r="E22" i="20" s="1"/>
  <c r="F22" i="17"/>
  <c r="F22" i="20" s="1"/>
  <c r="G22" i="17"/>
  <c r="H22" i="17"/>
  <c r="H22" i="20" s="1"/>
  <c r="K51" i="20" s="1"/>
  <c r="I22" i="17"/>
  <c r="I22" i="20" s="1"/>
  <c r="J22" i="17"/>
  <c r="J22" i="19" s="1"/>
  <c r="L51" i="19" s="1"/>
  <c r="K22" i="17"/>
  <c r="K22" i="20" s="1"/>
  <c r="L22" i="17"/>
  <c r="L22" i="20" s="1"/>
  <c r="M22" i="17"/>
  <c r="M22" i="20" s="1"/>
  <c r="N22" i="17"/>
  <c r="N22" i="20" s="1"/>
  <c r="O22" i="17"/>
  <c r="O22" i="20" s="1"/>
  <c r="P22" i="17"/>
  <c r="C23" i="17"/>
  <c r="D23" i="17"/>
  <c r="E23" i="17"/>
  <c r="F23" i="17"/>
  <c r="F23" i="20" s="1"/>
  <c r="G23" i="17"/>
  <c r="H23" i="17"/>
  <c r="H23" i="20" s="1"/>
  <c r="K52" i="20" s="1"/>
  <c r="I23" i="17"/>
  <c r="I23" i="20" s="1"/>
  <c r="J23" i="17"/>
  <c r="J23" i="19" s="1"/>
  <c r="L52" i="19" s="1"/>
  <c r="K23" i="17"/>
  <c r="K23" i="20" s="1"/>
  <c r="L23" i="17"/>
  <c r="L23" i="20" s="1"/>
  <c r="M23" i="17"/>
  <c r="M23" i="20" s="1"/>
  <c r="N23" i="17"/>
  <c r="N23" i="20" s="1"/>
  <c r="O23" i="17"/>
  <c r="O23" i="20" s="1"/>
  <c r="P23" i="17"/>
  <c r="L38" i="17"/>
  <c r="P3" i="17"/>
  <c r="O3" i="17"/>
  <c r="N3" i="17"/>
  <c r="M3" i="17"/>
  <c r="L3" i="17"/>
  <c r="K3" i="17"/>
  <c r="G3" i="17"/>
  <c r="D3" i="17"/>
  <c r="C3" i="17"/>
  <c r="I32" i="17" s="1"/>
  <c r="B3" i="17"/>
  <c r="C23" i="19" l="1"/>
  <c r="C23" i="20"/>
  <c r="J51" i="20"/>
  <c r="C51" i="20"/>
  <c r="E23" i="19"/>
  <c r="J52" i="19" s="1"/>
  <c r="E23" i="20"/>
  <c r="C22" i="19"/>
  <c r="C22" i="20"/>
  <c r="E21" i="19"/>
  <c r="C50" i="19" s="1"/>
  <c r="D50" i="19" s="1"/>
  <c r="E21" i="20"/>
  <c r="N23" i="18"/>
  <c r="N23" i="19"/>
  <c r="L22" i="18"/>
  <c r="L22" i="19"/>
  <c r="N21" i="18"/>
  <c r="N21" i="19"/>
  <c r="F21" i="18"/>
  <c r="F21" i="19"/>
  <c r="I23" i="18"/>
  <c r="I23" i="19"/>
  <c r="J50" i="19"/>
  <c r="F23" i="18"/>
  <c r="F23" i="19"/>
  <c r="H22" i="18"/>
  <c r="K51" i="18" s="1"/>
  <c r="H22" i="19"/>
  <c r="K51" i="19" s="1"/>
  <c r="K22" i="18"/>
  <c r="K22" i="19"/>
  <c r="G22" i="18"/>
  <c r="G22" i="19"/>
  <c r="M21" i="18"/>
  <c r="M21" i="19"/>
  <c r="P23" i="18"/>
  <c r="P23" i="19"/>
  <c r="L23" i="18"/>
  <c r="L23" i="19"/>
  <c r="D23" i="18"/>
  <c r="N22" i="18"/>
  <c r="N22" i="19"/>
  <c r="F22" i="18"/>
  <c r="F22" i="19"/>
  <c r="P21" i="18"/>
  <c r="P21" i="19"/>
  <c r="L21" i="18"/>
  <c r="L21" i="19"/>
  <c r="H21" i="18"/>
  <c r="K50" i="18" s="1"/>
  <c r="H21" i="19"/>
  <c r="K50" i="19" s="1"/>
  <c r="D21" i="18"/>
  <c r="P22" i="18"/>
  <c r="P22" i="19"/>
  <c r="D22" i="18"/>
  <c r="M23" i="18"/>
  <c r="M23" i="19"/>
  <c r="O22" i="18"/>
  <c r="O22" i="19"/>
  <c r="I51" i="19"/>
  <c r="B51" i="19"/>
  <c r="I21" i="18"/>
  <c r="I21" i="19"/>
  <c r="H23" i="18"/>
  <c r="K52" i="18" s="1"/>
  <c r="H23" i="19"/>
  <c r="K52" i="19" s="1"/>
  <c r="O23" i="18"/>
  <c r="O23" i="19"/>
  <c r="K23" i="18"/>
  <c r="K23" i="19"/>
  <c r="G23" i="18"/>
  <c r="G23" i="19"/>
  <c r="B52" i="19"/>
  <c r="I52" i="19"/>
  <c r="M22" i="18"/>
  <c r="M22" i="19"/>
  <c r="I22" i="18"/>
  <c r="I22" i="19"/>
  <c r="E22" i="18"/>
  <c r="C51" i="18" s="1"/>
  <c r="E22" i="19"/>
  <c r="O21" i="18"/>
  <c r="O21" i="19"/>
  <c r="K21" i="18"/>
  <c r="K21" i="19"/>
  <c r="G21" i="18"/>
  <c r="G21" i="19"/>
  <c r="K52" i="17"/>
  <c r="C51" i="17"/>
  <c r="K50" i="17"/>
  <c r="K51" i="17"/>
  <c r="B52" i="17"/>
  <c r="C23" i="18"/>
  <c r="L51" i="17"/>
  <c r="J22" i="18"/>
  <c r="L51" i="18" s="1"/>
  <c r="C50" i="17"/>
  <c r="D50" i="17" s="1"/>
  <c r="F50" i="17" s="1"/>
  <c r="E21" i="18"/>
  <c r="L52" i="17"/>
  <c r="J23" i="18"/>
  <c r="L52" i="18" s="1"/>
  <c r="J51" i="18"/>
  <c r="C52" i="17"/>
  <c r="E23" i="18"/>
  <c r="B51" i="17"/>
  <c r="C22" i="18"/>
  <c r="L50" i="17"/>
  <c r="J21" i="18"/>
  <c r="L50" i="18" s="1"/>
  <c r="J50" i="17"/>
  <c r="I51" i="17"/>
  <c r="I50" i="17"/>
  <c r="I52" i="17"/>
  <c r="J51" i="17"/>
  <c r="J52" i="17"/>
  <c r="J52" i="20" l="1"/>
  <c r="C52" i="20"/>
  <c r="D22" i="20"/>
  <c r="D22" i="19"/>
  <c r="C52" i="19"/>
  <c r="J50" i="20"/>
  <c r="M50" i="20" s="1"/>
  <c r="C50" i="20"/>
  <c r="D50" i="20" s="1"/>
  <c r="D21" i="20"/>
  <c r="P21" i="20" s="1"/>
  <c r="D21" i="19"/>
  <c r="I51" i="20"/>
  <c r="M51" i="20" s="1"/>
  <c r="P22" i="20"/>
  <c r="B51" i="20"/>
  <c r="D51" i="20" s="1"/>
  <c r="B52" i="20"/>
  <c r="D52" i="20" s="1"/>
  <c r="I52" i="20"/>
  <c r="M52" i="20" s="1"/>
  <c r="D23" i="20"/>
  <c r="P23" i="20" s="1"/>
  <c r="D23" i="19"/>
  <c r="M50" i="19"/>
  <c r="M52" i="19"/>
  <c r="P50" i="19"/>
  <c r="O50" i="19"/>
  <c r="N50" i="19"/>
  <c r="Q50" i="19"/>
  <c r="F50" i="19"/>
  <c r="E50" i="19"/>
  <c r="J51" i="19"/>
  <c r="M51" i="19" s="1"/>
  <c r="C51" i="19"/>
  <c r="D52" i="19"/>
  <c r="Q52" i="19"/>
  <c r="P52" i="19"/>
  <c r="O52" i="19"/>
  <c r="N52" i="19"/>
  <c r="D51" i="19"/>
  <c r="D51" i="17"/>
  <c r="E51" i="17" s="1"/>
  <c r="D52" i="17"/>
  <c r="E52" i="17" s="1"/>
  <c r="J52" i="18"/>
  <c r="C52" i="18"/>
  <c r="B51" i="18"/>
  <c r="D51" i="18" s="1"/>
  <c r="I51" i="18"/>
  <c r="M51" i="18" s="1"/>
  <c r="J50" i="18"/>
  <c r="M50" i="18" s="1"/>
  <c r="C50" i="18"/>
  <c r="D50" i="18" s="1"/>
  <c r="B52" i="18"/>
  <c r="I52" i="18"/>
  <c r="M50" i="17"/>
  <c r="N50" i="17" s="1"/>
  <c r="M51" i="17"/>
  <c r="N51" i="17" s="1"/>
  <c r="E50" i="17"/>
  <c r="M52" i="17"/>
  <c r="F51" i="20" l="1"/>
  <c r="E51" i="20"/>
  <c r="Q51" i="20"/>
  <c r="O51" i="20"/>
  <c r="N51" i="20"/>
  <c r="P51" i="20"/>
  <c r="F52" i="20"/>
  <c r="E52" i="20"/>
  <c r="N50" i="20"/>
  <c r="P50" i="20"/>
  <c r="Q50" i="20"/>
  <c r="O50" i="20"/>
  <c r="R50" i="20" s="1"/>
  <c r="N52" i="20"/>
  <c r="Q52" i="20"/>
  <c r="P52" i="20"/>
  <c r="O52" i="20"/>
  <c r="R52" i="20" s="1"/>
  <c r="E50" i="20"/>
  <c r="F50" i="20"/>
  <c r="O51" i="19"/>
  <c r="N51" i="19"/>
  <c r="Q51" i="19"/>
  <c r="P51" i="19"/>
  <c r="F51" i="19"/>
  <c r="E51" i="19"/>
  <c r="E52" i="19"/>
  <c r="F52" i="19"/>
  <c r="R50" i="19"/>
  <c r="R52" i="19"/>
  <c r="F52" i="17"/>
  <c r="F51" i="17"/>
  <c r="M52" i="18"/>
  <c r="P52" i="18" s="1"/>
  <c r="D52" i="18"/>
  <c r="E50" i="18"/>
  <c r="F50" i="18"/>
  <c r="P51" i="18"/>
  <c r="O51" i="18"/>
  <c r="Q51" i="18"/>
  <c r="N51" i="18"/>
  <c r="N50" i="18"/>
  <c r="O50" i="18"/>
  <c r="P50" i="18"/>
  <c r="Q50" i="18"/>
  <c r="Q52" i="18"/>
  <c r="E51" i="18"/>
  <c r="F51" i="18"/>
  <c r="O50" i="17"/>
  <c r="P50" i="17"/>
  <c r="Q50" i="17"/>
  <c r="O51" i="17"/>
  <c r="P51" i="17"/>
  <c r="Q51" i="17"/>
  <c r="N52" i="17"/>
  <c r="Q52" i="17"/>
  <c r="P52" i="17"/>
  <c r="O52" i="17"/>
  <c r="R51" i="20" l="1"/>
  <c r="R51" i="19"/>
  <c r="O52" i="18"/>
  <c r="R52" i="18" s="1"/>
  <c r="N52" i="18"/>
  <c r="R50" i="18"/>
  <c r="R51" i="18"/>
  <c r="E52" i="18"/>
  <c r="F52" i="18"/>
  <c r="R50" i="17"/>
  <c r="R51" i="17"/>
  <c r="R52" i="17"/>
  <c r="K50" i="14" l="1"/>
  <c r="L50" i="14"/>
  <c r="C51" i="14"/>
  <c r="L51" i="14"/>
  <c r="J52" i="14"/>
  <c r="K52" i="14"/>
  <c r="I50" i="14"/>
  <c r="B51" i="14"/>
  <c r="I52" i="14"/>
  <c r="L52" i="14"/>
  <c r="K51" i="14"/>
  <c r="C50" i="14"/>
  <c r="L38" i="14"/>
  <c r="P3" i="14"/>
  <c r="O3" i="14"/>
  <c r="N3" i="14"/>
  <c r="M3" i="14"/>
  <c r="L3" i="14"/>
  <c r="K3" i="14"/>
  <c r="G3" i="14"/>
  <c r="D3" i="14"/>
  <c r="C3" i="14"/>
  <c r="I32" i="14" s="1"/>
  <c r="B3" i="14"/>
  <c r="I51" i="14" l="1"/>
  <c r="J51" i="14"/>
  <c r="M52" i="14"/>
  <c r="O52" i="14" s="1"/>
  <c r="D51" i="14"/>
  <c r="J50" i="14"/>
  <c r="M50" i="14" s="1"/>
  <c r="B52" i="14"/>
  <c r="C52" i="14"/>
  <c r="B50" i="14"/>
  <c r="D50" i="14" s="1"/>
  <c r="M51" i="14" l="1"/>
  <c r="Q51" i="14" s="1"/>
  <c r="D52" i="14"/>
  <c r="E52" i="14" s="1"/>
  <c r="P52" i="14"/>
  <c r="Q52" i="14"/>
  <c r="N52" i="14"/>
  <c r="P50" i="14"/>
  <c r="O50" i="14"/>
  <c r="N50" i="14"/>
  <c r="Q50" i="14"/>
  <c r="F50" i="14"/>
  <c r="E50" i="14"/>
  <c r="F51" i="14"/>
  <c r="E51" i="14"/>
  <c r="N51" i="14" l="1"/>
  <c r="P51" i="14"/>
  <c r="O51" i="14"/>
  <c r="F52" i="14"/>
  <c r="R52" i="14"/>
  <c r="R50" i="14"/>
  <c r="R51" i="14" l="1"/>
  <c r="P3" i="9" l="1"/>
  <c r="O3" i="9"/>
  <c r="N3" i="9"/>
  <c r="M3" i="9"/>
  <c r="L3" i="9"/>
  <c r="K3" i="9"/>
  <c r="G3" i="9"/>
  <c r="D3" i="9"/>
  <c r="C3" i="9"/>
  <c r="I32" i="9" s="1"/>
  <c r="B3" i="9"/>
  <c r="G26" i="7" l="1"/>
  <c r="G27" i="7" s="1"/>
  <c r="E26" i="7"/>
  <c r="F26" i="7" s="1"/>
  <c r="C26" i="7" l="1"/>
  <c r="O25" i="7"/>
  <c r="D25" i="7"/>
  <c r="P3" i="7"/>
  <c r="O3" i="7"/>
  <c r="N3" i="7"/>
  <c r="M3" i="7"/>
  <c r="L3" i="7"/>
  <c r="K3" i="7"/>
  <c r="G3" i="7"/>
  <c r="D3" i="7"/>
  <c r="C3" i="7"/>
  <c r="I32" i="7" s="1"/>
  <c r="B3" i="7"/>
  <c r="C26" i="5" l="1"/>
  <c r="O25" i="5"/>
  <c r="D25" i="5"/>
  <c r="P3" i="5"/>
  <c r="O3" i="5"/>
  <c r="N3" i="5"/>
  <c r="M3" i="5"/>
  <c r="L3" i="5"/>
  <c r="K3" i="5"/>
  <c r="G3" i="5"/>
  <c r="D3" i="5"/>
  <c r="C3" i="5"/>
  <c r="I32" i="5" s="1"/>
  <c r="B3" i="5"/>
  <c r="O25" i="4" l="1"/>
  <c r="F25" i="4"/>
  <c r="D25" i="4" l="1"/>
  <c r="C26" i="4"/>
  <c r="B1" i="4" l="1"/>
  <c r="C1" i="4"/>
  <c r="O5" i="4"/>
  <c r="O6" i="4"/>
  <c r="O7" i="4"/>
  <c r="O8" i="4"/>
  <c r="O15" i="4"/>
  <c r="O16" i="4"/>
  <c r="O17" i="4"/>
  <c r="O18" i="4"/>
  <c r="O19" i="4"/>
  <c r="O20" i="4"/>
  <c r="O21" i="4"/>
  <c r="O22" i="4"/>
  <c r="O23" i="4"/>
  <c r="O4" i="4"/>
  <c r="P3" i="4"/>
  <c r="O3" i="4"/>
  <c r="B3" i="4"/>
  <c r="N3" i="4"/>
  <c r="M3" i="4"/>
  <c r="L3" i="4"/>
  <c r="K3" i="4"/>
  <c r="G3" i="4"/>
  <c r="D3" i="4"/>
  <c r="C3" i="4"/>
  <c r="I32" i="4" s="1"/>
  <c r="O4" i="5" l="1"/>
  <c r="O5" i="5"/>
  <c r="Q23" i="4"/>
  <c r="O23" i="5"/>
  <c r="Q22" i="4"/>
  <c r="O22" i="5"/>
  <c r="Q20" i="4"/>
  <c r="O20" i="5"/>
  <c r="Q18" i="4"/>
  <c r="O18" i="5"/>
  <c r="Q16" i="4"/>
  <c r="O16" i="5"/>
  <c r="Q8" i="4"/>
  <c r="O8" i="5"/>
  <c r="Q6" i="4"/>
  <c r="O6" i="5"/>
  <c r="Q21" i="4"/>
  <c r="O21" i="5"/>
  <c r="Q19" i="4"/>
  <c r="O19" i="5"/>
  <c r="Q17" i="4"/>
  <c r="O17" i="5"/>
  <c r="Q15" i="4"/>
  <c r="O15" i="5"/>
  <c r="Q7" i="4"/>
  <c r="O7" i="5"/>
  <c r="O16" i="7" l="1"/>
  <c r="O16" i="9" s="1"/>
  <c r="O16" i="14" s="1"/>
  <c r="O16" i="17" s="1"/>
  <c r="O16" i="18" s="1"/>
  <c r="O17" i="7"/>
  <c r="O17" i="9" s="1"/>
  <c r="O17" i="14" s="1"/>
  <c r="O17" i="17" s="1"/>
  <c r="O17" i="18" s="1"/>
  <c r="O6" i="7"/>
  <c r="O6" i="9" s="1"/>
  <c r="O6" i="14" s="1"/>
  <c r="O6" i="17" s="1"/>
  <c r="O6" i="18" s="1"/>
  <c r="O6" i="19" s="1"/>
  <c r="O18" i="7"/>
  <c r="O18" i="9" s="1"/>
  <c r="O18" i="14" s="1"/>
  <c r="O18" i="17" s="1"/>
  <c r="O18" i="18" s="1"/>
  <c r="O23" i="7"/>
  <c r="O23" i="9" s="1"/>
  <c r="O15" i="7"/>
  <c r="O15" i="9" s="1"/>
  <c r="O15" i="14" s="1"/>
  <c r="O15" i="17" s="1"/>
  <c r="O15" i="18" s="1"/>
  <c r="O15" i="19" s="1"/>
  <c r="O22" i="7"/>
  <c r="O22" i="9" s="1"/>
  <c r="O20" i="7"/>
  <c r="O20" i="9" s="1"/>
  <c r="O20" i="14" s="1"/>
  <c r="O20" i="17" s="1"/>
  <c r="O20" i="18" s="1"/>
  <c r="O21" i="7"/>
  <c r="O21" i="9" s="1"/>
  <c r="O7" i="7"/>
  <c r="O7" i="9" s="1"/>
  <c r="O7" i="14" s="1"/>
  <c r="O7" i="17" s="1"/>
  <c r="O7" i="18" s="1"/>
  <c r="O7" i="19" s="1"/>
  <c r="O19" i="7"/>
  <c r="O19" i="9" s="1"/>
  <c r="O19" i="14" s="1"/>
  <c r="O19" i="17" s="1"/>
  <c r="O19" i="18" s="1"/>
  <c r="O8" i="7"/>
  <c r="O8" i="9" s="1"/>
  <c r="O8" i="14" s="1"/>
  <c r="O8" i="17" s="1"/>
  <c r="O8" i="18" s="1"/>
  <c r="O8" i="19" s="1"/>
  <c r="O5" i="7"/>
  <c r="O5" i="9" s="1"/>
  <c r="O5" i="14" s="1"/>
  <c r="O5" i="17" s="1"/>
  <c r="O5" i="18" s="1"/>
  <c r="O4" i="7"/>
  <c r="O4" i="9" s="1"/>
  <c r="O4" i="14" s="1"/>
  <c r="O4" i="17" s="1"/>
  <c r="O4" i="18" s="1"/>
  <c r="Q7" i="5"/>
  <c r="Q15" i="5"/>
  <c r="Q17" i="5"/>
  <c r="Q19" i="5"/>
  <c r="Q21" i="5"/>
  <c r="Q6" i="5"/>
  <c r="Q8" i="5"/>
  <c r="Q16" i="5"/>
  <c r="Q18" i="5"/>
  <c r="Q20" i="5"/>
  <c r="Q22" i="5"/>
  <c r="Q23" i="5"/>
  <c r="H98" i="3"/>
  <c r="H99" i="3"/>
  <c r="H100" i="3"/>
  <c r="G17" i="3" s="1"/>
  <c r="O9" i="4" s="1"/>
  <c r="H101" i="3"/>
  <c r="H17" i="3" s="1"/>
  <c r="O10" i="4" s="1"/>
  <c r="H102" i="3"/>
  <c r="I17" i="3" s="1"/>
  <c r="O11" i="4" s="1"/>
  <c r="H103" i="3"/>
  <c r="J17" i="3" s="1"/>
  <c r="O12" i="4" s="1"/>
  <c r="H104" i="3"/>
  <c r="K17" i="3" s="1"/>
  <c r="O13" i="4" s="1"/>
  <c r="H105" i="3"/>
  <c r="L17" i="3" s="1"/>
  <c r="O14" i="4" s="1"/>
  <c r="H106" i="3"/>
  <c r="H97" i="3"/>
  <c r="C4" i="2"/>
  <c r="B4" i="2"/>
  <c r="O19" i="19" l="1"/>
  <c r="O19" i="20"/>
  <c r="O20" i="19"/>
  <c r="O20" i="20"/>
  <c r="O4" i="19"/>
  <c r="O4" i="20"/>
  <c r="O17" i="19"/>
  <c r="O17" i="20"/>
  <c r="O18" i="19"/>
  <c r="O18" i="20"/>
  <c r="O5" i="19"/>
  <c r="O5" i="20"/>
  <c r="O16" i="19"/>
  <c r="O16" i="20"/>
  <c r="Q16" i="7"/>
  <c r="Q16" i="9" s="1"/>
  <c r="Q16" i="14" s="1"/>
  <c r="Q16" i="17" s="1"/>
  <c r="Q16" i="20" s="1"/>
  <c r="Q8" i="7"/>
  <c r="Q8" i="9" s="1"/>
  <c r="Q8" i="14" s="1"/>
  <c r="Q8" i="17" s="1"/>
  <c r="Q7" i="7"/>
  <c r="Q7" i="9" s="1"/>
  <c r="Q7" i="14" s="1"/>
  <c r="Q7" i="17" s="1"/>
  <c r="Q23" i="7"/>
  <c r="Q23" i="9" s="1"/>
  <c r="Q23" i="14" s="1"/>
  <c r="Q23" i="17" s="1"/>
  <c r="Q23" i="20" s="1"/>
  <c r="Q6" i="7"/>
  <c r="Q6" i="9" s="1"/>
  <c r="Q6" i="14" s="1"/>
  <c r="Q6" i="17" s="1"/>
  <c r="Q15" i="7"/>
  <c r="Q15" i="9" s="1"/>
  <c r="Q15" i="14" s="1"/>
  <c r="Q15" i="17" s="1"/>
  <c r="Q21" i="7"/>
  <c r="Q21" i="9" s="1"/>
  <c r="Q21" i="14" s="1"/>
  <c r="Q21" i="17" s="1"/>
  <c r="Q21" i="20" s="1"/>
  <c r="Q20" i="7"/>
  <c r="Q20" i="9" s="1"/>
  <c r="Q20" i="14" s="1"/>
  <c r="Q20" i="17" s="1"/>
  <c r="Q20" i="20" s="1"/>
  <c r="Q19" i="7"/>
  <c r="Q19" i="9" s="1"/>
  <c r="Q19" i="14" s="1"/>
  <c r="Q19" i="17" s="1"/>
  <c r="Q19" i="20" s="1"/>
  <c r="Q22" i="7"/>
  <c r="Q22" i="9" s="1"/>
  <c r="Q22" i="14" s="1"/>
  <c r="Q22" i="17" s="1"/>
  <c r="Q22" i="20" s="1"/>
  <c r="Q18" i="7"/>
  <c r="Q18" i="9" s="1"/>
  <c r="Q18" i="14" s="1"/>
  <c r="Q18" i="17" s="1"/>
  <c r="Q18" i="20" s="1"/>
  <c r="Q17" i="7"/>
  <c r="Q17" i="9" s="1"/>
  <c r="Q17" i="14" s="1"/>
  <c r="Q17" i="17" s="1"/>
  <c r="Q17" i="20" s="1"/>
  <c r="C16" i="2"/>
  <c r="C17" i="2" s="1"/>
  <c r="C19" i="2" s="1"/>
  <c r="B16" i="2"/>
  <c r="B17" i="2" s="1"/>
  <c r="Q13" i="4"/>
  <c r="Q13" i="5" s="1"/>
  <c r="O13" i="5"/>
  <c r="O12" i="5"/>
  <c r="Q12" i="4"/>
  <c r="Q12" i="5" s="1"/>
  <c r="O11" i="5"/>
  <c r="Q11" i="4"/>
  <c r="Q11" i="5" s="1"/>
  <c r="Q14" i="4"/>
  <c r="Q14" i="5" s="1"/>
  <c r="O14" i="5"/>
  <c r="Q10" i="4"/>
  <c r="Q10" i="5" s="1"/>
  <c r="O10" i="5"/>
  <c r="Q9" i="4"/>
  <c r="Q9" i="5" s="1"/>
  <c r="O9" i="5"/>
  <c r="B19" i="2"/>
  <c r="B21" i="2" s="1"/>
  <c r="C119" i="3"/>
  <c r="H119" i="3" s="1"/>
  <c r="C118" i="3"/>
  <c r="C117" i="3"/>
  <c r="C116" i="3"/>
  <c r="H116" i="3" s="1"/>
  <c r="C115" i="3"/>
  <c r="H115" i="3" s="1"/>
  <c r="C114" i="3"/>
  <c r="C113" i="3"/>
  <c r="C112" i="3"/>
  <c r="H112" i="3" s="1"/>
  <c r="C111" i="3"/>
  <c r="H111" i="3" s="1"/>
  <c r="C110" i="3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G70" i="3"/>
  <c r="C70" i="3"/>
  <c r="S64" i="3"/>
  <c r="T35" i="3" s="1"/>
  <c r="R64" i="3"/>
  <c r="Q64" i="3"/>
  <c r="P64" i="3"/>
  <c r="AB55" i="3"/>
  <c r="AA55" i="3"/>
  <c r="H55" i="3"/>
  <c r="Z54" i="3"/>
  <c r="AB54" i="3" s="1"/>
  <c r="Y54" i="3"/>
  <c r="H54" i="3"/>
  <c r="Z53" i="3"/>
  <c r="AB53" i="3" s="1"/>
  <c r="Y53" i="3"/>
  <c r="H53" i="3"/>
  <c r="AC52" i="3"/>
  <c r="Z52" i="3"/>
  <c r="Y52" i="3"/>
  <c r="H52" i="3"/>
  <c r="AC51" i="3"/>
  <c r="Z51" i="3"/>
  <c r="Y51" i="3"/>
  <c r="H51" i="3"/>
  <c r="Z50" i="3"/>
  <c r="AA50" i="3" s="1"/>
  <c r="Y50" i="3"/>
  <c r="H50" i="3"/>
  <c r="AC49" i="3"/>
  <c r="Z49" i="3"/>
  <c r="AA49" i="3" s="1"/>
  <c r="Y49" i="3"/>
  <c r="H49" i="3"/>
  <c r="AC48" i="3"/>
  <c r="Z48" i="3"/>
  <c r="AB48" i="3" s="1"/>
  <c r="Y48" i="3"/>
  <c r="H48" i="3"/>
  <c r="AC47" i="3"/>
  <c r="Z47" i="3"/>
  <c r="AA47" i="3" s="1"/>
  <c r="Y47" i="3"/>
  <c r="H47" i="3"/>
  <c r="AC46" i="3"/>
  <c r="Z46" i="3"/>
  <c r="AB46" i="3" s="1"/>
  <c r="Y46" i="3"/>
  <c r="H46" i="3"/>
  <c r="AC45" i="3"/>
  <c r="Z45" i="3"/>
  <c r="AA45" i="3" s="1"/>
  <c r="Y45" i="3"/>
  <c r="H45" i="3"/>
  <c r="AC44" i="3"/>
  <c r="Z44" i="3"/>
  <c r="AB44" i="3" s="1"/>
  <c r="Y44" i="3"/>
  <c r="H44" i="3"/>
  <c r="AC43" i="3"/>
  <c r="Z43" i="3"/>
  <c r="AA43" i="3" s="1"/>
  <c r="Y43" i="3"/>
  <c r="H43" i="3"/>
  <c r="AC42" i="3"/>
  <c r="Z42" i="3"/>
  <c r="Y42" i="3"/>
  <c r="H42" i="3"/>
  <c r="AC41" i="3"/>
  <c r="Z41" i="3"/>
  <c r="AB41" i="3" s="1"/>
  <c r="Y41" i="3"/>
  <c r="H41" i="3"/>
  <c r="Z40" i="3"/>
  <c r="AB40" i="3" s="1"/>
  <c r="Y40" i="3"/>
  <c r="H40" i="3"/>
  <c r="Z39" i="3"/>
  <c r="AB39" i="3" s="1"/>
  <c r="Y39" i="3"/>
  <c r="H39" i="3"/>
  <c r="Z38" i="3"/>
  <c r="AB38" i="3" s="1"/>
  <c r="Y38" i="3"/>
  <c r="H38" i="3"/>
  <c r="Z37" i="3"/>
  <c r="AB37" i="3" s="1"/>
  <c r="Y37" i="3"/>
  <c r="H37" i="3"/>
  <c r="Z36" i="3"/>
  <c r="AB36" i="3" s="1"/>
  <c r="Y36" i="3"/>
  <c r="H36" i="3"/>
  <c r="S35" i="3"/>
  <c r="R35" i="3"/>
  <c r="Q35" i="3"/>
  <c r="U28" i="3"/>
  <c r="T28" i="3"/>
  <c r="S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U21" i="3"/>
  <c r="U22" i="3" s="1"/>
  <c r="U23" i="3" s="1"/>
  <c r="T21" i="3"/>
  <c r="T22" i="3" s="1"/>
  <c r="T23" i="3" s="1"/>
  <c r="S21" i="3"/>
  <c r="S22" i="3" s="1"/>
  <c r="S23" i="3" s="1"/>
  <c r="R21" i="3"/>
  <c r="R22" i="3" s="1"/>
  <c r="R23" i="3" s="1"/>
  <c r="Q21" i="3"/>
  <c r="Q22" i="3" s="1"/>
  <c r="Q23" i="3" s="1"/>
  <c r="P21" i="3"/>
  <c r="P22" i="3" s="1"/>
  <c r="P23" i="3" s="1"/>
  <c r="O21" i="3"/>
  <c r="O22" i="3" s="1"/>
  <c r="O23" i="3" s="1"/>
  <c r="N21" i="3"/>
  <c r="N22" i="3" s="1"/>
  <c r="N23" i="3" s="1"/>
  <c r="M21" i="3"/>
  <c r="M22" i="3" s="1"/>
  <c r="M23" i="3" s="1"/>
  <c r="L21" i="3"/>
  <c r="L22" i="3" s="1"/>
  <c r="L23" i="3" s="1"/>
  <c r="K21" i="3"/>
  <c r="K22" i="3" s="1"/>
  <c r="K23" i="3" s="1"/>
  <c r="J21" i="3"/>
  <c r="J22" i="3" s="1"/>
  <c r="J23" i="3" s="1"/>
  <c r="I21" i="3"/>
  <c r="I22" i="3" s="1"/>
  <c r="I23" i="3" s="1"/>
  <c r="H21" i="3"/>
  <c r="H22" i="3" s="1"/>
  <c r="H23" i="3" s="1"/>
  <c r="G21" i="3"/>
  <c r="G22" i="3" s="1"/>
  <c r="G23" i="3" s="1"/>
  <c r="F21" i="3"/>
  <c r="F22" i="3" s="1"/>
  <c r="F23" i="3" s="1"/>
  <c r="E21" i="3"/>
  <c r="E22" i="3" s="1"/>
  <c r="E23" i="3" s="1"/>
  <c r="D21" i="3"/>
  <c r="D22" i="3" s="1"/>
  <c r="D23" i="3" s="1"/>
  <c r="A12" i="3"/>
  <c r="A11" i="3"/>
  <c r="A10" i="3"/>
  <c r="A8" i="3"/>
  <c r="A7" i="3"/>
  <c r="C118" i="1"/>
  <c r="D118" i="1" s="1"/>
  <c r="E118" i="1" s="1"/>
  <c r="C117" i="1"/>
  <c r="D117" i="1" s="1"/>
  <c r="E117" i="1" s="1"/>
  <c r="C116" i="1"/>
  <c r="D116" i="1" s="1"/>
  <c r="E116" i="1" s="1"/>
  <c r="C115" i="1"/>
  <c r="D115" i="1" s="1"/>
  <c r="E115" i="1" s="1"/>
  <c r="C114" i="1"/>
  <c r="D114" i="1" s="1"/>
  <c r="E114" i="1" s="1"/>
  <c r="C113" i="1"/>
  <c r="D113" i="1" s="1"/>
  <c r="E113" i="1" s="1"/>
  <c r="C112" i="1"/>
  <c r="D112" i="1" s="1"/>
  <c r="E112" i="1" s="1"/>
  <c r="C111" i="1"/>
  <c r="D111" i="1" s="1"/>
  <c r="E111" i="1" s="1"/>
  <c r="C110" i="1"/>
  <c r="D110" i="1" s="1"/>
  <c r="E110" i="1" s="1"/>
  <c r="C109" i="1"/>
  <c r="D109" i="1" s="1"/>
  <c r="E109" i="1" s="1"/>
  <c r="D105" i="1"/>
  <c r="E105" i="1" s="1"/>
  <c r="D104" i="1"/>
  <c r="E104" i="1" s="1"/>
  <c r="D103" i="1"/>
  <c r="E103" i="1" s="1"/>
  <c r="D102" i="1"/>
  <c r="E102" i="1" s="1"/>
  <c r="D101" i="1"/>
  <c r="E101" i="1" s="1"/>
  <c r="I100" i="1"/>
  <c r="D100" i="1"/>
  <c r="E100" i="1" s="1"/>
  <c r="D99" i="1"/>
  <c r="E99" i="1" s="1"/>
  <c r="D98" i="1"/>
  <c r="E98" i="1" s="1"/>
  <c r="D97" i="1"/>
  <c r="E97" i="1" s="1"/>
  <c r="D96" i="1"/>
  <c r="E96" i="1" s="1"/>
  <c r="G69" i="1"/>
  <c r="C69" i="1"/>
  <c r="S63" i="1"/>
  <c r="T34" i="1" s="1"/>
  <c r="R63" i="1"/>
  <c r="Q63" i="1"/>
  <c r="P63" i="1"/>
  <c r="AB54" i="1"/>
  <c r="AA54" i="1"/>
  <c r="H54" i="1"/>
  <c r="Z53" i="1"/>
  <c r="AB53" i="1" s="1"/>
  <c r="Y53" i="1"/>
  <c r="H53" i="1"/>
  <c r="Z52" i="1"/>
  <c r="AB52" i="1" s="1"/>
  <c r="Y52" i="1"/>
  <c r="H52" i="1"/>
  <c r="AC51" i="1"/>
  <c r="Z51" i="1"/>
  <c r="AB51" i="1" s="1"/>
  <c r="Y51" i="1"/>
  <c r="H51" i="1"/>
  <c r="AC50" i="1"/>
  <c r="Z50" i="1"/>
  <c r="Y50" i="1"/>
  <c r="H50" i="1"/>
  <c r="Z49" i="1"/>
  <c r="AA49" i="1" s="1"/>
  <c r="Y49" i="1"/>
  <c r="H49" i="1"/>
  <c r="AC48" i="1"/>
  <c r="Z48" i="1"/>
  <c r="AA48" i="1" s="1"/>
  <c r="Y48" i="1"/>
  <c r="H48" i="1"/>
  <c r="AC47" i="1"/>
  <c r="Z47" i="1"/>
  <c r="AA47" i="1" s="1"/>
  <c r="Y47" i="1"/>
  <c r="H47" i="1"/>
  <c r="AC46" i="1"/>
  <c r="Z46" i="1"/>
  <c r="AA46" i="1" s="1"/>
  <c r="Y46" i="1"/>
  <c r="H46" i="1"/>
  <c r="AC45" i="1"/>
  <c r="Z45" i="1"/>
  <c r="AA45" i="1" s="1"/>
  <c r="Y45" i="1"/>
  <c r="H45" i="1"/>
  <c r="AC44" i="1"/>
  <c r="Z44" i="1"/>
  <c r="AA44" i="1" s="1"/>
  <c r="Y44" i="1"/>
  <c r="H44" i="1"/>
  <c r="AC43" i="1"/>
  <c r="Z43" i="1"/>
  <c r="AA43" i="1" s="1"/>
  <c r="Y43" i="1"/>
  <c r="H43" i="1"/>
  <c r="AC42" i="1"/>
  <c r="Z42" i="1"/>
  <c r="AA42" i="1" s="1"/>
  <c r="Y42" i="1"/>
  <c r="H42" i="1"/>
  <c r="AC41" i="1"/>
  <c r="Z41" i="1"/>
  <c r="AA41" i="1" s="1"/>
  <c r="Y41" i="1"/>
  <c r="H41" i="1"/>
  <c r="AC40" i="1"/>
  <c r="Z40" i="1"/>
  <c r="AA40" i="1" s="1"/>
  <c r="Y40" i="1"/>
  <c r="H40" i="1"/>
  <c r="Z39" i="1"/>
  <c r="AA39" i="1" s="1"/>
  <c r="Y39" i="1"/>
  <c r="H39" i="1"/>
  <c r="Z38" i="1"/>
  <c r="AA38" i="1" s="1"/>
  <c r="Y38" i="1"/>
  <c r="H38" i="1"/>
  <c r="Z37" i="1"/>
  <c r="AA37" i="1" s="1"/>
  <c r="Y37" i="1"/>
  <c r="H37" i="1"/>
  <c r="Z36" i="1"/>
  <c r="AA36" i="1" s="1"/>
  <c r="Y36" i="1"/>
  <c r="H36" i="1"/>
  <c r="Z35" i="1"/>
  <c r="AA35" i="1" s="1"/>
  <c r="Y35" i="1"/>
  <c r="H35" i="1"/>
  <c r="S34" i="1"/>
  <c r="R34" i="1"/>
  <c r="Q34" i="1"/>
  <c r="U27" i="1"/>
  <c r="T27" i="1"/>
  <c r="S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U20" i="1"/>
  <c r="U21" i="1" s="1"/>
  <c r="U22" i="1" s="1"/>
  <c r="T20" i="1"/>
  <c r="T21" i="1" s="1"/>
  <c r="T22" i="1" s="1"/>
  <c r="S20" i="1"/>
  <c r="S21" i="1" s="1"/>
  <c r="S22" i="1" s="1"/>
  <c r="R20" i="1"/>
  <c r="R21" i="1" s="1"/>
  <c r="R22" i="1" s="1"/>
  <c r="Q20" i="1"/>
  <c r="Q21" i="1" s="1"/>
  <c r="Q22" i="1" s="1"/>
  <c r="P20" i="1"/>
  <c r="P21" i="1" s="1"/>
  <c r="P22" i="1" s="1"/>
  <c r="O20" i="1"/>
  <c r="O21" i="1" s="1"/>
  <c r="O22" i="1" s="1"/>
  <c r="N20" i="1"/>
  <c r="N21" i="1" s="1"/>
  <c r="N22" i="1" s="1"/>
  <c r="M20" i="1"/>
  <c r="M21" i="1" s="1"/>
  <c r="M22" i="1" s="1"/>
  <c r="L20" i="1"/>
  <c r="L21" i="1" s="1"/>
  <c r="L22" i="1" s="1"/>
  <c r="K20" i="1"/>
  <c r="K21" i="1" s="1"/>
  <c r="K22" i="1" s="1"/>
  <c r="J20" i="1"/>
  <c r="J21" i="1" s="1"/>
  <c r="J22" i="1" s="1"/>
  <c r="I20" i="1"/>
  <c r="I21" i="1" s="1"/>
  <c r="I22" i="1" s="1"/>
  <c r="H20" i="1"/>
  <c r="H21" i="1" s="1"/>
  <c r="H22" i="1" s="1"/>
  <c r="G20" i="1"/>
  <c r="G21" i="1" s="1"/>
  <c r="G22" i="1" s="1"/>
  <c r="F20" i="1"/>
  <c r="F21" i="1" s="1"/>
  <c r="F22" i="1" s="1"/>
  <c r="E20" i="1"/>
  <c r="E21" i="1" s="1"/>
  <c r="E22" i="1" s="1"/>
  <c r="D20" i="1"/>
  <c r="D21" i="1" s="1"/>
  <c r="D22" i="1" s="1"/>
  <c r="U16" i="1"/>
  <c r="U16" i="3" s="1"/>
  <c r="N23" i="4" s="1"/>
  <c r="T16" i="1"/>
  <c r="T16" i="3" s="1"/>
  <c r="N22" i="4" s="1"/>
  <c r="S16" i="1"/>
  <c r="S16" i="3" s="1"/>
  <c r="N21" i="4" s="1"/>
  <c r="R16" i="1"/>
  <c r="R16" i="3" s="1"/>
  <c r="N20" i="4" s="1"/>
  <c r="Q16" i="1"/>
  <c r="Q16" i="3" s="1"/>
  <c r="N19" i="4" s="1"/>
  <c r="P16" i="1"/>
  <c r="P16" i="3" s="1"/>
  <c r="N18" i="4" s="1"/>
  <c r="O16" i="1"/>
  <c r="O16" i="3" s="1"/>
  <c r="N17" i="4" s="1"/>
  <c r="N16" i="1"/>
  <c r="N16" i="3" s="1"/>
  <c r="N16" i="4" s="1"/>
  <c r="M16" i="1"/>
  <c r="M16" i="3" s="1"/>
  <c r="N15" i="4" s="1"/>
  <c r="L16" i="1"/>
  <c r="L16" i="3" s="1"/>
  <c r="N14" i="4" s="1"/>
  <c r="K16" i="1"/>
  <c r="K16" i="3" s="1"/>
  <c r="N13" i="4" s="1"/>
  <c r="J16" i="1"/>
  <c r="J16" i="3" s="1"/>
  <c r="N12" i="4" s="1"/>
  <c r="I16" i="1"/>
  <c r="I16" i="3" s="1"/>
  <c r="N11" i="4" s="1"/>
  <c r="H16" i="1"/>
  <c r="H16" i="3" s="1"/>
  <c r="N10" i="4" s="1"/>
  <c r="G16" i="1"/>
  <c r="G16" i="3" s="1"/>
  <c r="N9" i="4" s="1"/>
  <c r="F16" i="1"/>
  <c r="F16" i="3" s="1"/>
  <c r="N8" i="4" s="1"/>
  <c r="E16" i="1"/>
  <c r="E16" i="3" s="1"/>
  <c r="N7" i="4" s="1"/>
  <c r="D16" i="1"/>
  <c r="D16" i="3" s="1"/>
  <c r="N6" i="4" s="1"/>
  <c r="C16" i="1"/>
  <c r="C16" i="3" s="1"/>
  <c r="N5" i="4" s="1"/>
  <c r="B16" i="1"/>
  <c r="B16" i="3" s="1"/>
  <c r="N4" i="4" s="1"/>
  <c r="U15" i="1"/>
  <c r="U15" i="3" s="1"/>
  <c r="M23" i="4" s="1"/>
  <c r="T15" i="1"/>
  <c r="T15" i="3" s="1"/>
  <c r="M22" i="4" s="1"/>
  <c r="S15" i="1"/>
  <c r="S15" i="3" s="1"/>
  <c r="M21" i="4" s="1"/>
  <c r="R15" i="1"/>
  <c r="R15" i="3" s="1"/>
  <c r="M20" i="4" s="1"/>
  <c r="Q15" i="1"/>
  <c r="Q15" i="3" s="1"/>
  <c r="M19" i="4" s="1"/>
  <c r="P15" i="1"/>
  <c r="P15" i="3" s="1"/>
  <c r="M18" i="4" s="1"/>
  <c r="O15" i="1"/>
  <c r="O15" i="3" s="1"/>
  <c r="M17" i="4" s="1"/>
  <c r="N15" i="1"/>
  <c r="N15" i="3" s="1"/>
  <c r="M16" i="4" s="1"/>
  <c r="M15" i="1"/>
  <c r="M15" i="3" s="1"/>
  <c r="M15" i="4" s="1"/>
  <c r="L15" i="1"/>
  <c r="L15" i="3" s="1"/>
  <c r="M14" i="4" s="1"/>
  <c r="K15" i="1"/>
  <c r="K15" i="3" s="1"/>
  <c r="M13" i="4" s="1"/>
  <c r="J15" i="1"/>
  <c r="J15" i="3" s="1"/>
  <c r="M12" i="4" s="1"/>
  <c r="I15" i="1"/>
  <c r="I15" i="3" s="1"/>
  <c r="M11" i="4" s="1"/>
  <c r="H15" i="1"/>
  <c r="H15" i="3" s="1"/>
  <c r="M10" i="4" s="1"/>
  <c r="G15" i="1"/>
  <c r="G15" i="3" s="1"/>
  <c r="M9" i="4" s="1"/>
  <c r="F15" i="1"/>
  <c r="F15" i="3" s="1"/>
  <c r="M8" i="4" s="1"/>
  <c r="E15" i="1"/>
  <c r="E15" i="3" s="1"/>
  <c r="M7" i="4" s="1"/>
  <c r="D15" i="1"/>
  <c r="D15" i="3" s="1"/>
  <c r="M6" i="4" s="1"/>
  <c r="C15" i="1"/>
  <c r="C15" i="3" s="1"/>
  <c r="M5" i="4" s="1"/>
  <c r="B15" i="1"/>
  <c r="B15" i="3" s="1"/>
  <c r="M4" i="4" s="1"/>
  <c r="U14" i="1"/>
  <c r="U14" i="3" s="1"/>
  <c r="L23" i="4" s="1"/>
  <c r="T14" i="1"/>
  <c r="T14" i="3" s="1"/>
  <c r="L22" i="4" s="1"/>
  <c r="S14" i="1"/>
  <c r="S14" i="3" s="1"/>
  <c r="L21" i="4" s="1"/>
  <c r="R14" i="1"/>
  <c r="R14" i="3" s="1"/>
  <c r="L20" i="4" s="1"/>
  <c r="Q14" i="1"/>
  <c r="Q14" i="3" s="1"/>
  <c r="L19" i="4" s="1"/>
  <c r="P14" i="1"/>
  <c r="P14" i="3" s="1"/>
  <c r="L18" i="4" s="1"/>
  <c r="O14" i="1"/>
  <c r="O14" i="3" s="1"/>
  <c r="L17" i="4" s="1"/>
  <c r="N14" i="1"/>
  <c r="N14" i="3" s="1"/>
  <c r="L16" i="4" s="1"/>
  <c r="M14" i="1"/>
  <c r="M14" i="3" s="1"/>
  <c r="L15" i="4" s="1"/>
  <c r="L14" i="1"/>
  <c r="L14" i="3" s="1"/>
  <c r="L14" i="4" s="1"/>
  <c r="K14" i="1"/>
  <c r="K14" i="3" s="1"/>
  <c r="L13" i="4" s="1"/>
  <c r="J14" i="1"/>
  <c r="J14" i="3" s="1"/>
  <c r="L12" i="4" s="1"/>
  <c r="I14" i="1"/>
  <c r="I14" i="3" s="1"/>
  <c r="L11" i="4" s="1"/>
  <c r="H14" i="1"/>
  <c r="H14" i="3" s="1"/>
  <c r="L10" i="4" s="1"/>
  <c r="G14" i="1"/>
  <c r="G14" i="3" s="1"/>
  <c r="L9" i="4" s="1"/>
  <c r="F14" i="1"/>
  <c r="F14" i="3" s="1"/>
  <c r="L8" i="4" s="1"/>
  <c r="E14" i="1"/>
  <c r="E14" i="3" s="1"/>
  <c r="L7" i="4" s="1"/>
  <c r="D14" i="1"/>
  <c r="D14" i="3" s="1"/>
  <c r="L6" i="4" s="1"/>
  <c r="C14" i="1"/>
  <c r="C14" i="3" s="1"/>
  <c r="L5" i="4" s="1"/>
  <c r="B14" i="1"/>
  <c r="B14" i="3" s="1"/>
  <c r="L4" i="4" s="1"/>
  <c r="U13" i="1"/>
  <c r="U13" i="3" s="1"/>
  <c r="K23" i="4" s="1"/>
  <c r="T13" i="1"/>
  <c r="T13" i="3" s="1"/>
  <c r="K22" i="4" s="1"/>
  <c r="S13" i="1"/>
  <c r="S13" i="3" s="1"/>
  <c r="K21" i="4" s="1"/>
  <c r="R13" i="1"/>
  <c r="R13" i="3" s="1"/>
  <c r="K20" i="4" s="1"/>
  <c r="Q13" i="1"/>
  <c r="Q13" i="3" s="1"/>
  <c r="K19" i="4" s="1"/>
  <c r="P13" i="1"/>
  <c r="P13" i="3" s="1"/>
  <c r="K18" i="4" s="1"/>
  <c r="O13" i="1"/>
  <c r="O13" i="3" s="1"/>
  <c r="K17" i="4" s="1"/>
  <c r="N13" i="1"/>
  <c r="N13" i="3" s="1"/>
  <c r="K16" i="4" s="1"/>
  <c r="M13" i="1"/>
  <c r="M13" i="3" s="1"/>
  <c r="K15" i="4" s="1"/>
  <c r="L13" i="1"/>
  <c r="L13" i="3" s="1"/>
  <c r="K14" i="4" s="1"/>
  <c r="K13" i="1"/>
  <c r="K13" i="3" s="1"/>
  <c r="K13" i="4" s="1"/>
  <c r="J13" i="1"/>
  <c r="J13" i="3" s="1"/>
  <c r="K12" i="4" s="1"/>
  <c r="I13" i="1"/>
  <c r="I13" i="3" s="1"/>
  <c r="K11" i="4" s="1"/>
  <c r="H13" i="1"/>
  <c r="H13" i="3" s="1"/>
  <c r="K10" i="4" s="1"/>
  <c r="G13" i="1"/>
  <c r="G13" i="3" s="1"/>
  <c r="K9" i="4" s="1"/>
  <c r="F13" i="1"/>
  <c r="F13" i="3" s="1"/>
  <c r="K8" i="4" s="1"/>
  <c r="E13" i="1"/>
  <c r="E13" i="3" s="1"/>
  <c r="K7" i="4" s="1"/>
  <c r="D13" i="1"/>
  <c r="D13" i="3" s="1"/>
  <c r="K6" i="4" s="1"/>
  <c r="C13" i="1"/>
  <c r="C13" i="3" s="1"/>
  <c r="K5" i="4" s="1"/>
  <c r="B13" i="1"/>
  <c r="B13" i="3" s="1"/>
  <c r="K4" i="4" s="1"/>
  <c r="U12" i="1"/>
  <c r="U12" i="3" s="1"/>
  <c r="J23" i="4" s="1"/>
  <c r="T12" i="1"/>
  <c r="T12" i="3" s="1"/>
  <c r="J22" i="4" s="1"/>
  <c r="S12" i="1"/>
  <c r="S12" i="3" s="1"/>
  <c r="J21" i="4" s="1"/>
  <c r="R12" i="1"/>
  <c r="R12" i="3" s="1"/>
  <c r="J20" i="4" s="1"/>
  <c r="Q12" i="1"/>
  <c r="Q12" i="3" s="1"/>
  <c r="J19" i="4" s="1"/>
  <c r="P12" i="1"/>
  <c r="P12" i="3" s="1"/>
  <c r="J18" i="4" s="1"/>
  <c r="O12" i="1"/>
  <c r="O12" i="3" s="1"/>
  <c r="J17" i="4" s="1"/>
  <c r="N12" i="1"/>
  <c r="N12" i="3" s="1"/>
  <c r="M12" i="1"/>
  <c r="L12" i="1"/>
  <c r="L12" i="3" s="1"/>
  <c r="K12" i="1"/>
  <c r="K12" i="3" s="1"/>
  <c r="J12" i="1"/>
  <c r="J12" i="3" s="1"/>
  <c r="I12" i="1"/>
  <c r="I12" i="3" s="1"/>
  <c r="J11" i="4" s="1"/>
  <c r="H12" i="1"/>
  <c r="H12" i="3" s="1"/>
  <c r="G12" i="1"/>
  <c r="G12" i="3" s="1"/>
  <c r="F12" i="1"/>
  <c r="F12" i="3" s="1"/>
  <c r="E12" i="1"/>
  <c r="E12" i="3" s="1"/>
  <c r="D12" i="1"/>
  <c r="D12" i="3" s="1"/>
  <c r="C12" i="1"/>
  <c r="B12" i="1"/>
  <c r="A12" i="1"/>
  <c r="J69" i="1" s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11" i="3" s="1"/>
  <c r="I5" i="4" s="1"/>
  <c r="B11" i="1"/>
  <c r="B11" i="3" s="1"/>
  <c r="I4" i="4" s="1"/>
  <c r="A11" i="1"/>
  <c r="I69" i="1" s="1"/>
  <c r="U10" i="1"/>
  <c r="U10" i="3" s="1"/>
  <c r="H23" i="4" s="1"/>
  <c r="T10" i="1"/>
  <c r="T10" i="3" s="1"/>
  <c r="H22" i="4" s="1"/>
  <c r="S10" i="1"/>
  <c r="S10" i="3" s="1"/>
  <c r="H21" i="4" s="1"/>
  <c r="R10" i="1"/>
  <c r="R10" i="3" s="1"/>
  <c r="H20" i="4" s="1"/>
  <c r="Q10" i="1"/>
  <c r="Q10" i="3" s="1"/>
  <c r="H19" i="4" s="1"/>
  <c r="P10" i="1"/>
  <c r="P10" i="3" s="1"/>
  <c r="H18" i="4" s="1"/>
  <c r="O10" i="1"/>
  <c r="O10" i="3" s="1"/>
  <c r="H17" i="4" s="1"/>
  <c r="N10" i="1"/>
  <c r="N10" i="3" s="1"/>
  <c r="H16" i="4" s="1"/>
  <c r="M10" i="1"/>
  <c r="L10" i="1"/>
  <c r="L10" i="3" s="1"/>
  <c r="H14" i="4" s="1"/>
  <c r="K10" i="1"/>
  <c r="K10" i="3" s="1"/>
  <c r="H13" i="4" s="1"/>
  <c r="J10" i="1"/>
  <c r="J10" i="3" s="1"/>
  <c r="H12" i="4" s="1"/>
  <c r="I10" i="1"/>
  <c r="I10" i="3" s="1"/>
  <c r="H10" i="1"/>
  <c r="H10" i="3" s="1"/>
  <c r="G10" i="1"/>
  <c r="G10" i="3" s="1"/>
  <c r="H9" i="4" s="1"/>
  <c r="F10" i="1"/>
  <c r="F10" i="3" s="1"/>
  <c r="H8" i="4" s="1"/>
  <c r="E10" i="1"/>
  <c r="E10" i="3" s="1"/>
  <c r="H7" i="4" s="1"/>
  <c r="D10" i="1"/>
  <c r="D10" i="3" s="1"/>
  <c r="H6" i="4" s="1"/>
  <c r="C10" i="1"/>
  <c r="B10" i="1"/>
  <c r="A10" i="1"/>
  <c r="H69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9" i="3" s="1"/>
  <c r="G5" i="4" s="1"/>
  <c r="B9" i="1"/>
  <c r="B9" i="3" s="1"/>
  <c r="G4" i="4" s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C8" i="3" s="1"/>
  <c r="F5" i="4" s="1"/>
  <c r="B8" i="1"/>
  <c r="B8" i="3" s="1"/>
  <c r="F4" i="4" s="1"/>
  <c r="A8" i="1"/>
  <c r="F69" i="1" s="1"/>
  <c r="U7" i="1"/>
  <c r="U7" i="3" s="1"/>
  <c r="E23" i="4" s="1"/>
  <c r="T7" i="1"/>
  <c r="T7" i="3" s="1"/>
  <c r="E22" i="4" s="1"/>
  <c r="S7" i="1"/>
  <c r="S7" i="3" s="1"/>
  <c r="E21" i="4" s="1"/>
  <c r="R7" i="1"/>
  <c r="R7" i="3" s="1"/>
  <c r="E20" i="4" s="1"/>
  <c r="Q7" i="1"/>
  <c r="Q7" i="3" s="1"/>
  <c r="E19" i="4" s="1"/>
  <c r="P7" i="1"/>
  <c r="P7" i="3" s="1"/>
  <c r="E18" i="4" s="1"/>
  <c r="O7" i="1"/>
  <c r="O7" i="3" s="1"/>
  <c r="E17" i="4" s="1"/>
  <c r="N7" i="1"/>
  <c r="N7" i="3" s="1"/>
  <c r="E16" i="4" s="1"/>
  <c r="M7" i="1"/>
  <c r="L7" i="1"/>
  <c r="L7" i="3" s="1"/>
  <c r="E14" i="4" s="1"/>
  <c r="K7" i="1"/>
  <c r="K7" i="3" s="1"/>
  <c r="E13" i="4" s="1"/>
  <c r="J7" i="1"/>
  <c r="J7" i="3" s="1"/>
  <c r="I7" i="1"/>
  <c r="I7" i="3" s="1"/>
  <c r="E11" i="4" s="1"/>
  <c r="H7" i="1"/>
  <c r="H7" i="3" s="1"/>
  <c r="G7" i="1"/>
  <c r="G7" i="3" s="1"/>
  <c r="E9" i="4" s="1"/>
  <c r="F7" i="1"/>
  <c r="F7" i="3" s="1"/>
  <c r="E7" i="1"/>
  <c r="E7" i="3" s="1"/>
  <c r="D7" i="1"/>
  <c r="D7" i="3" s="1"/>
  <c r="E6" i="4" s="1"/>
  <c r="C7" i="1"/>
  <c r="C7" i="3" s="1"/>
  <c r="B7" i="1"/>
  <c r="B7" i="3" s="1"/>
  <c r="A7" i="1"/>
  <c r="D69" i="1" s="1"/>
  <c r="U6" i="1"/>
  <c r="U6" i="3" s="1"/>
  <c r="D23" i="4" s="1"/>
  <c r="T6" i="1"/>
  <c r="T6" i="3" s="1"/>
  <c r="D22" i="4" s="1"/>
  <c r="S6" i="1"/>
  <c r="S6" i="3" s="1"/>
  <c r="D21" i="4" s="1"/>
  <c r="R6" i="1"/>
  <c r="R6" i="3" s="1"/>
  <c r="D20" i="4" s="1"/>
  <c r="Q6" i="1"/>
  <c r="Q6" i="3" s="1"/>
  <c r="D19" i="4" s="1"/>
  <c r="P6" i="1"/>
  <c r="P6" i="3" s="1"/>
  <c r="D18" i="4" s="1"/>
  <c r="O6" i="1"/>
  <c r="O6" i="3" s="1"/>
  <c r="D17" i="4" s="1"/>
  <c r="N6" i="1"/>
  <c r="N6" i="3" s="1"/>
  <c r="D16" i="4" s="1"/>
  <c r="M6" i="1"/>
  <c r="L6" i="1"/>
  <c r="L6" i="3" s="1"/>
  <c r="D14" i="4" s="1"/>
  <c r="K6" i="1"/>
  <c r="K6" i="3" s="1"/>
  <c r="D13" i="4" s="1"/>
  <c r="J6" i="1"/>
  <c r="J6" i="3" s="1"/>
  <c r="D12" i="4" s="1"/>
  <c r="I6" i="1"/>
  <c r="I6" i="3" s="1"/>
  <c r="D11" i="4" s="1"/>
  <c r="H6" i="1"/>
  <c r="H6" i="3" s="1"/>
  <c r="D10" i="4" s="1"/>
  <c r="G6" i="1"/>
  <c r="G6" i="3" s="1"/>
  <c r="D9" i="4" s="1"/>
  <c r="F6" i="1"/>
  <c r="F6" i="3" s="1"/>
  <c r="D8" i="4" s="1"/>
  <c r="E6" i="1"/>
  <c r="E6" i="3" s="1"/>
  <c r="D7" i="4" s="1"/>
  <c r="D6" i="1"/>
  <c r="D6" i="3" s="1"/>
  <c r="D6" i="4" s="1"/>
  <c r="C6" i="1"/>
  <c r="C6" i="3" s="1"/>
  <c r="D5" i="4" s="1"/>
  <c r="B6" i="1"/>
  <c r="B6" i="3" s="1"/>
  <c r="D4" i="4" s="1"/>
  <c r="U5" i="1"/>
  <c r="U5" i="3" s="1"/>
  <c r="C23" i="4" s="1"/>
  <c r="T5" i="1"/>
  <c r="T5" i="3" s="1"/>
  <c r="C22" i="4" s="1"/>
  <c r="S5" i="1"/>
  <c r="S5" i="3" s="1"/>
  <c r="C21" i="4" s="1"/>
  <c r="R5" i="1"/>
  <c r="Q5" i="1"/>
  <c r="Q5" i="3" s="1"/>
  <c r="C19" i="4" s="1"/>
  <c r="P5" i="1"/>
  <c r="P5" i="3" s="1"/>
  <c r="C18" i="4" s="1"/>
  <c r="O5" i="1"/>
  <c r="O5" i="3" s="1"/>
  <c r="C17" i="4" s="1"/>
  <c r="N5" i="1"/>
  <c r="N5" i="3" s="1"/>
  <c r="C16" i="4" s="1"/>
  <c r="M5" i="1"/>
  <c r="L5" i="1"/>
  <c r="K5" i="1"/>
  <c r="K5" i="3" s="1"/>
  <c r="C13" i="4" s="1"/>
  <c r="J5" i="1"/>
  <c r="J5" i="3" s="1"/>
  <c r="C12" i="4" s="1"/>
  <c r="I5" i="1"/>
  <c r="I5" i="3" s="1"/>
  <c r="C11" i="4" s="1"/>
  <c r="H5" i="1"/>
  <c r="H5" i="3" s="1"/>
  <c r="C10" i="4" s="1"/>
  <c r="G5" i="1"/>
  <c r="G5" i="3" s="1"/>
  <c r="C9" i="4" s="1"/>
  <c r="F5" i="1"/>
  <c r="F5" i="3" s="1"/>
  <c r="C8" i="4" s="1"/>
  <c r="E5" i="1"/>
  <c r="E5" i="3" s="1"/>
  <c r="C7" i="4" s="1"/>
  <c r="D5" i="1"/>
  <c r="D5" i="3" s="1"/>
  <c r="C5" i="1"/>
  <c r="C5" i="3" s="1"/>
  <c r="C5" i="4" s="1"/>
  <c r="B5" i="1"/>
  <c r="E3" i="20" l="1"/>
  <c r="J32" i="20" s="1"/>
  <c r="E3" i="19"/>
  <c r="J32" i="19" s="1"/>
  <c r="F3" i="20"/>
  <c r="F3" i="19"/>
  <c r="H3" i="20"/>
  <c r="K32" i="20" s="1"/>
  <c r="H3" i="19"/>
  <c r="K32" i="19" s="1"/>
  <c r="J3" i="20"/>
  <c r="L32" i="20" s="1"/>
  <c r="J3" i="19"/>
  <c r="L32" i="19" s="1"/>
  <c r="I3" i="20"/>
  <c r="I3" i="19"/>
  <c r="Q20" i="18"/>
  <c r="Q20" i="19"/>
  <c r="Q18" i="18"/>
  <c r="Q18" i="19"/>
  <c r="Q21" i="18"/>
  <c r="Q21" i="19"/>
  <c r="Q22" i="18"/>
  <c r="Q22" i="19"/>
  <c r="Q15" i="18"/>
  <c r="Q15" i="19"/>
  <c r="Q8" i="18"/>
  <c r="Q8" i="19"/>
  <c r="Q17" i="18"/>
  <c r="Q17" i="19"/>
  <c r="Q23" i="18"/>
  <c r="Q23" i="19"/>
  <c r="Q7" i="18"/>
  <c r="Q7" i="19"/>
  <c r="Q19" i="18"/>
  <c r="Q19" i="19"/>
  <c r="Q6" i="18"/>
  <c r="Q6" i="19"/>
  <c r="Q16" i="18"/>
  <c r="Q16" i="19"/>
  <c r="H3" i="9"/>
  <c r="K32" i="9" s="1"/>
  <c r="H3" i="18"/>
  <c r="K32" i="18" s="1"/>
  <c r="H3" i="17"/>
  <c r="K32" i="17" s="1"/>
  <c r="H3" i="14"/>
  <c r="K32" i="14" s="1"/>
  <c r="I3" i="9"/>
  <c r="I3" i="18"/>
  <c r="I3" i="17"/>
  <c r="I3" i="14"/>
  <c r="E3" i="9"/>
  <c r="J32" i="9" s="1"/>
  <c r="E3" i="18"/>
  <c r="J32" i="18" s="1"/>
  <c r="E3" i="17"/>
  <c r="J32" i="17" s="1"/>
  <c r="E3" i="14"/>
  <c r="J32" i="14" s="1"/>
  <c r="J3" i="9"/>
  <c r="L32" i="9" s="1"/>
  <c r="J3" i="18"/>
  <c r="L32" i="18" s="1"/>
  <c r="J3" i="17"/>
  <c r="L32" i="17" s="1"/>
  <c r="J3" i="14"/>
  <c r="L32" i="14" s="1"/>
  <c r="F3" i="9"/>
  <c r="F3" i="18"/>
  <c r="F3" i="17"/>
  <c r="F3" i="14"/>
  <c r="Q10" i="7"/>
  <c r="Q10" i="9" s="1"/>
  <c r="Q10" i="14" s="1"/>
  <c r="Q10" i="17" s="1"/>
  <c r="O14" i="7"/>
  <c r="O14" i="9" s="1"/>
  <c r="O14" i="14" s="1"/>
  <c r="O14" i="17" s="1"/>
  <c r="O14" i="18" s="1"/>
  <c r="O14" i="19" s="1"/>
  <c r="O13" i="7"/>
  <c r="O13" i="9" s="1"/>
  <c r="O13" i="14" s="1"/>
  <c r="O13" i="17" s="1"/>
  <c r="O13" i="18" s="1"/>
  <c r="O13" i="19" s="1"/>
  <c r="Q12" i="7"/>
  <c r="Q12" i="9" s="1"/>
  <c r="Q12" i="14" s="1"/>
  <c r="Q12" i="17" s="1"/>
  <c r="Q14" i="7"/>
  <c r="Q14" i="9" s="1"/>
  <c r="Q14" i="14" s="1"/>
  <c r="Q14" i="17" s="1"/>
  <c r="Q13" i="7"/>
  <c r="Q13" i="9" s="1"/>
  <c r="Q13" i="14" s="1"/>
  <c r="Q13" i="17" s="1"/>
  <c r="O9" i="7"/>
  <c r="O9" i="9" s="1"/>
  <c r="O9" i="14" s="1"/>
  <c r="O9" i="17" s="1"/>
  <c r="O9" i="18" s="1"/>
  <c r="O9" i="19" s="1"/>
  <c r="Q11" i="7"/>
  <c r="Q11" i="9" s="1"/>
  <c r="Q11" i="14" s="1"/>
  <c r="Q11" i="17" s="1"/>
  <c r="D116" i="3"/>
  <c r="E116" i="3" s="1"/>
  <c r="Q9" i="7"/>
  <c r="Q9" i="9" s="1"/>
  <c r="Q9" i="14" s="1"/>
  <c r="Q9" i="17" s="1"/>
  <c r="C21" i="2"/>
  <c r="C20" i="2"/>
  <c r="C24" i="2" s="1"/>
  <c r="C22" i="2" s="1"/>
  <c r="C27" i="2" s="1"/>
  <c r="D115" i="3"/>
  <c r="E115" i="3" s="1"/>
  <c r="D111" i="3"/>
  <c r="E111" i="3" s="1"/>
  <c r="H3" i="7"/>
  <c r="K32" i="7" s="1"/>
  <c r="H3" i="5"/>
  <c r="K32" i="5" s="1"/>
  <c r="D114" i="3"/>
  <c r="E114" i="3" s="1"/>
  <c r="H114" i="3"/>
  <c r="D117" i="3"/>
  <c r="E117" i="3" s="1"/>
  <c r="H117" i="3"/>
  <c r="B20" i="2"/>
  <c r="B24" i="2" s="1"/>
  <c r="B22" i="2" s="1"/>
  <c r="C6" i="4"/>
  <c r="A6" i="4" s="1"/>
  <c r="C72" i="3"/>
  <c r="I3" i="7"/>
  <c r="I3" i="5"/>
  <c r="D118" i="3"/>
  <c r="E118" i="3" s="1"/>
  <c r="H118" i="3"/>
  <c r="J3" i="7"/>
  <c r="L32" i="7" s="1"/>
  <c r="J3" i="5"/>
  <c r="L32" i="5" s="1"/>
  <c r="E68" i="5"/>
  <c r="O12" i="7"/>
  <c r="O12" i="9" s="1"/>
  <c r="O12" i="14" s="1"/>
  <c r="O12" i="17" s="1"/>
  <c r="O12" i="18" s="1"/>
  <c r="O12" i="19" s="1"/>
  <c r="D112" i="3"/>
  <c r="E112" i="3" s="1"/>
  <c r="D119" i="3"/>
  <c r="E119" i="3" s="1"/>
  <c r="E3" i="7"/>
  <c r="J32" i="7" s="1"/>
  <c r="E3" i="5"/>
  <c r="J32" i="5" s="1"/>
  <c r="F3" i="7"/>
  <c r="F3" i="5"/>
  <c r="D110" i="3"/>
  <c r="E110" i="3" s="1"/>
  <c r="H110" i="3"/>
  <c r="D113" i="3"/>
  <c r="E113" i="3" s="1"/>
  <c r="H113" i="3"/>
  <c r="E66" i="5"/>
  <c r="O10" i="7"/>
  <c r="O10" i="9" s="1"/>
  <c r="O10" i="14" s="1"/>
  <c r="O10" i="17" s="1"/>
  <c r="O10" i="18" s="1"/>
  <c r="O10" i="19" s="1"/>
  <c r="E67" i="5"/>
  <c r="O11" i="7"/>
  <c r="O11" i="9" s="1"/>
  <c r="O11" i="14" s="1"/>
  <c r="O11" i="17" s="1"/>
  <c r="O11" i="18" s="1"/>
  <c r="O11" i="19" s="1"/>
  <c r="C5" i="5"/>
  <c r="C8" i="5"/>
  <c r="C10" i="5"/>
  <c r="C12" i="5"/>
  <c r="C16" i="5"/>
  <c r="C18" i="5"/>
  <c r="C22" i="5"/>
  <c r="B51" i="5" s="1"/>
  <c r="D4" i="5"/>
  <c r="D6" i="5"/>
  <c r="D8" i="5"/>
  <c r="D10" i="5"/>
  <c r="D12" i="5"/>
  <c r="D14" i="5"/>
  <c r="D16" i="5"/>
  <c r="D18" i="5"/>
  <c r="D20" i="5"/>
  <c r="D22" i="5"/>
  <c r="E9" i="5"/>
  <c r="E11" i="5"/>
  <c r="E13" i="5"/>
  <c r="E17" i="5"/>
  <c r="E19" i="5"/>
  <c r="E21" i="5"/>
  <c r="E23" i="5"/>
  <c r="F4" i="5"/>
  <c r="G4" i="5"/>
  <c r="I4" i="5"/>
  <c r="K5" i="5"/>
  <c r="K7" i="5"/>
  <c r="K9" i="5"/>
  <c r="K11" i="5"/>
  <c r="K13" i="5"/>
  <c r="K15" i="5"/>
  <c r="K17" i="5"/>
  <c r="K19" i="5"/>
  <c r="K21" i="5"/>
  <c r="K23" i="5"/>
  <c r="L5" i="5"/>
  <c r="L7" i="5"/>
  <c r="L9" i="5"/>
  <c r="L11" i="5"/>
  <c r="L13" i="5"/>
  <c r="L15" i="5"/>
  <c r="L17" i="5"/>
  <c r="L19" i="5"/>
  <c r="L21" i="5"/>
  <c r="L23" i="5"/>
  <c r="M5" i="5"/>
  <c r="M7" i="5"/>
  <c r="M9" i="5"/>
  <c r="M11" i="5"/>
  <c r="M13" i="5"/>
  <c r="M15" i="5"/>
  <c r="M17" i="5"/>
  <c r="M19" i="5"/>
  <c r="M21" i="5"/>
  <c r="M23" i="5"/>
  <c r="N5" i="5"/>
  <c r="N7" i="5"/>
  <c r="N9" i="5"/>
  <c r="N11" i="5"/>
  <c r="N13" i="5"/>
  <c r="N15" i="5"/>
  <c r="N17" i="5"/>
  <c r="N19" i="5"/>
  <c r="N21" i="5"/>
  <c r="N23" i="5"/>
  <c r="C7" i="5"/>
  <c r="C9" i="5"/>
  <c r="C13" i="5"/>
  <c r="C17" i="5"/>
  <c r="C21" i="5"/>
  <c r="C23" i="5"/>
  <c r="D5" i="5"/>
  <c r="D7" i="5"/>
  <c r="D9" i="5"/>
  <c r="D11" i="5"/>
  <c r="D13" i="5"/>
  <c r="D17" i="5"/>
  <c r="D21" i="5"/>
  <c r="D23" i="5"/>
  <c r="E6" i="5"/>
  <c r="E14" i="5"/>
  <c r="E16" i="5"/>
  <c r="E18" i="5"/>
  <c r="E20" i="5"/>
  <c r="E22" i="5"/>
  <c r="J51" i="5" s="1"/>
  <c r="F5" i="5"/>
  <c r="G5" i="5"/>
  <c r="I5" i="5"/>
  <c r="K4" i="5"/>
  <c r="K6" i="5"/>
  <c r="K8" i="5"/>
  <c r="K10" i="5"/>
  <c r="K12" i="5"/>
  <c r="K14" i="5"/>
  <c r="K16" i="5"/>
  <c r="K18" i="5"/>
  <c r="K20" i="5"/>
  <c r="K22" i="5"/>
  <c r="L4" i="5"/>
  <c r="L6" i="5"/>
  <c r="L8" i="5"/>
  <c r="L10" i="5"/>
  <c r="L12" i="5"/>
  <c r="L14" i="5"/>
  <c r="L16" i="5"/>
  <c r="L18" i="5"/>
  <c r="L20" i="5"/>
  <c r="L22" i="5"/>
  <c r="M4" i="5"/>
  <c r="M6" i="5"/>
  <c r="M8" i="5"/>
  <c r="M10" i="5"/>
  <c r="M12" i="5"/>
  <c r="M14" i="5"/>
  <c r="M16" i="5"/>
  <c r="M18" i="5"/>
  <c r="M20" i="5"/>
  <c r="M22" i="5"/>
  <c r="N4" i="5"/>
  <c r="N6" i="5"/>
  <c r="N8" i="5"/>
  <c r="N10" i="5"/>
  <c r="N12" i="5"/>
  <c r="N14" i="5"/>
  <c r="N16" i="5"/>
  <c r="N18" i="5"/>
  <c r="N20" i="5"/>
  <c r="N22" i="5"/>
  <c r="C64" i="5"/>
  <c r="I37" i="5"/>
  <c r="B37" i="5"/>
  <c r="D69" i="5"/>
  <c r="J42" i="5"/>
  <c r="C42" i="5"/>
  <c r="K36" i="4"/>
  <c r="H7" i="5"/>
  <c r="K38" i="4"/>
  <c r="H9" i="5"/>
  <c r="K42" i="4"/>
  <c r="H13" i="5"/>
  <c r="K46" i="4"/>
  <c r="H17" i="5"/>
  <c r="K48" i="4"/>
  <c r="H19" i="5"/>
  <c r="K50" i="4"/>
  <c r="H21" i="5"/>
  <c r="K52" i="4"/>
  <c r="H23" i="5"/>
  <c r="L40" i="4"/>
  <c r="J11" i="5"/>
  <c r="L46" i="4"/>
  <c r="J17" i="5"/>
  <c r="L48" i="4"/>
  <c r="J19" i="5"/>
  <c r="L50" i="4"/>
  <c r="J21" i="5"/>
  <c r="L52" i="4"/>
  <c r="J23" i="5"/>
  <c r="C63" i="5"/>
  <c r="I36" i="5"/>
  <c r="B36" i="5"/>
  <c r="A11" i="4"/>
  <c r="C11" i="5"/>
  <c r="B42" i="5"/>
  <c r="I42" i="5"/>
  <c r="C25" i="4"/>
  <c r="C19" i="5"/>
  <c r="C77" i="5"/>
  <c r="C27" i="4"/>
  <c r="D19" i="5"/>
  <c r="D62" i="5"/>
  <c r="D72" i="5"/>
  <c r="K35" i="4"/>
  <c r="H6" i="5"/>
  <c r="K37" i="4"/>
  <c r="H8" i="5"/>
  <c r="K41" i="4"/>
  <c r="H12" i="5"/>
  <c r="K43" i="4"/>
  <c r="H14" i="5"/>
  <c r="K45" i="4"/>
  <c r="H16" i="5"/>
  <c r="K47" i="4"/>
  <c r="H18" i="5"/>
  <c r="K49" i="4"/>
  <c r="H20" i="5"/>
  <c r="K51" i="4"/>
  <c r="H22" i="5"/>
  <c r="L47" i="4"/>
  <c r="J18" i="5"/>
  <c r="L49" i="4"/>
  <c r="J20" i="5"/>
  <c r="L51" i="4"/>
  <c r="J22" i="5"/>
  <c r="I35" i="4"/>
  <c r="I39" i="4"/>
  <c r="B39" i="4"/>
  <c r="I47" i="4"/>
  <c r="B47" i="4"/>
  <c r="I51" i="4"/>
  <c r="B51" i="4"/>
  <c r="L37" i="3"/>
  <c r="E5" i="4"/>
  <c r="J38" i="4"/>
  <c r="C38" i="4"/>
  <c r="J42" i="4"/>
  <c r="C42" i="4"/>
  <c r="J46" i="4"/>
  <c r="C46" i="4"/>
  <c r="J50" i="4"/>
  <c r="C50" i="4"/>
  <c r="H77" i="3"/>
  <c r="H11" i="4"/>
  <c r="J75" i="3"/>
  <c r="J9" i="4"/>
  <c r="J79" i="3"/>
  <c r="J13" i="4"/>
  <c r="I70" i="3"/>
  <c r="I3" i="4"/>
  <c r="B40" i="4"/>
  <c r="I40" i="4"/>
  <c r="B48" i="4"/>
  <c r="I48" i="4"/>
  <c r="B52" i="4"/>
  <c r="I52" i="4"/>
  <c r="J35" i="4"/>
  <c r="C35" i="4"/>
  <c r="D42" i="3"/>
  <c r="E10" i="4"/>
  <c r="J43" i="4"/>
  <c r="C43" i="4"/>
  <c r="J47" i="4"/>
  <c r="C47" i="4"/>
  <c r="J51" i="4"/>
  <c r="C51" i="4"/>
  <c r="J72" i="3"/>
  <c r="J6" i="4"/>
  <c r="J76" i="3"/>
  <c r="J10" i="4"/>
  <c r="J80" i="3"/>
  <c r="J14" i="4"/>
  <c r="D70" i="3"/>
  <c r="E3" i="4"/>
  <c r="J32" i="4" s="1"/>
  <c r="J70" i="3"/>
  <c r="J3" i="4"/>
  <c r="L32" i="4" s="1"/>
  <c r="I41" i="4"/>
  <c r="B41" i="4"/>
  <c r="I45" i="4"/>
  <c r="B45" i="4"/>
  <c r="D39" i="3"/>
  <c r="E7" i="4"/>
  <c r="C40" i="4"/>
  <c r="J40" i="4"/>
  <c r="C48" i="4"/>
  <c r="J48" i="4"/>
  <c r="C52" i="4"/>
  <c r="J52" i="4"/>
  <c r="J73" i="3"/>
  <c r="J7" i="4"/>
  <c r="F70" i="3"/>
  <c r="F3" i="4"/>
  <c r="B36" i="4"/>
  <c r="I36" i="4"/>
  <c r="I37" i="4"/>
  <c r="B37" i="4"/>
  <c r="B34" i="4"/>
  <c r="I34" i="4"/>
  <c r="B38" i="4"/>
  <c r="I38" i="4"/>
  <c r="I42" i="4"/>
  <c r="B42" i="4"/>
  <c r="I46" i="4"/>
  <c r="B46" i="4"/>
  <c r="I50" i="4"/>
  <c r="B50" i="4"/>
  <c r="L36" i="3"/>
  <c r="E4" i="4"/>
  <c r="D40" i="3"/>
  <c r="E8" i="4"/>
  <c r="D44" i="3"/>
  <c r="E12" i="4"/>
  <c r="C45" i="4"/>
  <c r="J45" i="4"/>
  <c r="C49" i="4"/>
  <c r="J49" i="4"/>
  <c r="H76" i="3"/>
  <c r="H10" i="4"/>
  <c r="J74" i="3"/>
  <c r="J8" i="4"/>
  <c r="J78" i="3"/>
  <c r="J12" i="4"/>
  <c r="J82" i="3"/>
  <c r="J16" i="4"/>
  <c r="H70" i="3"/>
  <c r="H3" i="4"/>
  <c r="K32" i="4" s="1"/>
  <c r="W5" i="3"/>
  <c r="K38" i="3"/>
  <c r="H25" i="3"/>
  <c r="T25" i="3"/>
  <c r="C37" i="3"/>
  <c r="K44" i="3"/>
  <c r="S25" i="3"/>
  <c r="AB41" i="1"/>
  <c r="W11" i="1"/>
  <c r="M5" i="3"/>
  <c r="C15" i="4" s="1"/>
  <c r="W5" i="1"/>
  <c r="W8" i="1"/>
  <c r="W9" i="1"/>
  <c r="M6" i="3"/>
  <c r="D15" i="4" s="1"/>
  <c r="W6" i="1"/>
  <c r="M7" i="3"/>
  <c r="D81" i="3" s="1"/>
  <c r="W7" i="1"/>
  <c r="M12" i="3"/>
  <c r="W12" i="1"/>
  <c r="M10" i="3"/>
  <c r="H15" i="4" s="1"/>
  <c r="W10" i="1"/>
  <c r="AB49" i="3"/>
  <c r="AA37" i="3"/>
  <c r="G25" i="3"/>
  <c r="AB45" i="3"/>
  <c r="AB43" i="3"/>
  <c r="AB47" i="3"/>
  <c r="AA36" i="3"/>
  <c r="B17" i="1"/>
  <c r="B28" i="1" s="1"/>
  <c r="B29" i="1" s="1"/>
  <c r="B5" i="3"/>
  <c r="C4" i="4" s="1"/>
  <c r="C4" i="5" s="1"/>
  <c r="C4" i="7" s="1"/>
  <c r="C4" i="9" s="1"/>
  <c r="R17" i="1"/>
  <c r="R28" i="1" s="1"/>
  <c r="R29" i="1" s="1"/>
  <c r="R5" i="3"/>
  <c r="C20" i="4" s="1"/>
  <c r="F74" i="1"/>
  <c r="G8" i="3"/>
  <c r="F78" i="1"/>
  <c r="K8" i="3"/>
  <c r="F82" i="1"/>
  <c r="O8" i="3"/>
  <c r="F86" i="1"/>
  <c r="S8" i="3"/>
  <c r="G74" i="1"/>
  <c r="G9" i="3"/>
  <c r="G78" i="1"/>
  <c r="K9" i="3"/>
  <c r="G82" i="1"/>
  <c r="O9" i="3"/>
  <c r="G86" i="1"/>
  <c r="S9" i="3"/>
  <c r="M35" i="1"/>
  <c r="B10" i="3"/>
  <c r="I72" i="1"/>
  <c r="E11" i="3"/>
  <c r="I76" i="1"/>
  <c r="I11" i="3"/>
  <c r="I80" i="1"/>
  <c r="M11" i="3"/>
  <c r="I84" i="1"/>
  <c r="Q11" i="3"/>
  <c r="I88" i="1"/>
  <c r="U11" i="3"/>
  <c r="AB35" i="1"/>
  <c r="AB36" i="1"/>
  <c r="AB37" i="1"/>
  <c r="AB38" i="1"/>
  <c r="AB39" i="1"/>
  <c r="AB40" i="1"/>
  <c r="AB49" i="1"/>
  <c r="F71" i="1"/>
  <c r="D8" i="3"/>
  <c r="F75" i="1"/>
  <c r="H8" i="3"/>
  <c r="F79" i="1"/>
  <c r="L8" i="3"/>
  <c r="F83" i="1"/>
  <c r="P8" i="3"/>
  <c r="F87" i="1"/>
  <c r="T8" i="3"/>
  <c r="G71" i="1"/>
  <c r="D9" i="3"/>
  <c r="G75" i="1"/>
  <c r="H9" i="3"/>
  <c r="G79" i="1"/>
  <c r="L9" i="3"/>
  <c r="G83" i="1"/>
  <c r="P9" i="3"/>
  <c r="G87" i="1"/>
  <c r="T9" i="3"/>
  <c r="M36" i="1"/>
  <c r="C10" i="3"/>
  <c r="I73" i="1"/>
  <c r="F11" i="3"/>
  <c r="I77" i="1"/>
  <c r="J11" i="3"/>
  <c r="I81" i="1"/>
  <c r="N11" i="3"/>
  <c r="I85" i="1"/>
  <c r="R11" i="3"/>
  <c r="F72" i="1"/>
  <c r="E8" i="3"/>
  <c r="F76" i="1"/>
  <c r="I8" i="3"/>
  <c r="F80" i="1"/>
  <c r="M8" i="3"/>
  <c r="F84" i="1"/>
  <c r="Q8" i="3"/>
  <c r="F88" i="1"/>
  <c r="U8" i="3"/>
  <c r="G72" i="1"/>
  <c r="E9" i="3"/>
  <c r="G76" i="1"/>
  <c r="I9" i="3"/>
  <c r="G80" i="1"/>
  <c r="M9" i="3"/>
  <c r="G84" i="1"/>
  <c r="Q9" i="3"/>
  <c r="G88" i="1"/>
  <c r="U9" i="3"/>
  <c r="I74" i="1"/>
  <c r="G11" i="3"/>
  <c r="I78" i="1"/>
  <c r="K11" i="3"/>
  <c r="I82" i="1"/>
  <c r="O11" i="3"/>
  <c r="I86" i="1"/>
  <c r="S11" i="3"/>
  <c r="N35" i="1"/>
  <c r="B12" i="3"/>
  <c r="L17" i="1"/>
  <c r="L28" i="1" s="1"/>
  <c r="L29" i="1" s="1"/>
  <c r="L5" i="3"/>
  <c r="C14" i="4" s="1"/>
  <c r="F73" i="1"/>
  <c r="F8" i="3"/>
  <c r="F77" i="1"/>
  <c r="J8" i="3"/>
  <c r="F81" i="1"/>
  <c r="N8" i="3"/>
  <c r="F85" i="1"/>
  <c r="R8" i="3"/>
  <c r="G73" i="1"/>
  <c r="F9" i="3"/>
  <c r="G77" i="1"/>
  <c r="J9" i="3"/>
  <c r="G81" i="1"/>
  <c r="N9" i="3"/>
  <c r="G85" i="1"/>
  <c r="R9" i="3"/>
  <c r="I71" i="1"/>
  <c r="D11" i="3"/>
  <c r="I75" i="1"/>
  <c r="H11" i="3"/>
  <c r="I79" i="1"/>
  <c r="L11" i="3"/>
  <c r="I83" i="1"/>
  <c r="P11" i="3"/>
  <c r="I87" i="1"/>
  <c r="T11" i="3"/>
  <c r="N36" i="1"/>
  <c r="C12" i="3"/>
  <c r="AA44" i="3"/>
  <c r="AA46" i="3"/>
  <c r="AA48" i="3"/>
  <c r="AB50" i="3"/>
  <c r="AA39" i="3"/>
  <c r="AA40" i="3"/>
  <c r="AA41" i="3"/>
  <c r="C84" i="3"/>
  <c r="K50" i="3"/>
  <c r="C50" i="3"/>
  <c r="C73" i="3"/>
  <c r="C39" i="3"/>
  <c r="C77" i="3"/>
  <c r="K43" i="3"/>
  <c r="C81" i="3"/>
  <c r="C85" i="3"/>
  <c r="K51" i="3"/>
  <c r="C51" i="3"/>
  <c r="C89" i="3"/>
  <c r="C55" i="3"/>
  <c r="K55" i="3"/>
  <c r="D75" i="3"/>
  <c r="L41" i="3"/>
  <c r="D79" i="3"/>
  <c r="L45" i="3"/>
  <c r="D83" i="3"/>
  <c r="D49" i="3"/>
  <c r="L49" i="3"/>
  <c r="D87" i="3"/>
  <c r="D53" i="3"/>
  <c r="L53" i="3"/>
  <c r="H73" i="3"/>
  <c r="M39" i="3"/>
  <c r="H85" i="3"/>
  <c r="M51" i="3"/>
  <c r="H89" i="3"/>
  <c r="M55" i="3"/>
  <c r="J83" i="3"/>
  <c r="N49" i="3"/>
  <c r="J87" i="3"/>
  <c r="N53" i="3"/>
  <c r="C25" i="3"/>
  <c r="Q25" i="3"/>
  <c r="AA38" i="3"/>
  <c r="K39" i="3"/>
  <c r="N40" i="3"/>
  <c r="N42" i="3"/>
  <c r="AB42" i="3"/>
  <c r="AA42" i="3"/>
  <c r="D45" i="3"/>
  <c r="N45" i="3"/>
  <c r="C74" i="3"/>
  <c r="C40" i="3"/>
  <c r="C78" i="3"/>
  <c r="C44" i="3"/>
  <c r="J25" i="3"/>
  <c r="C82" i="3"/>
  <c r="K48" i="3"/>
  <c r="C48" i="3"/>
  <c r="N25" i="3"/>
  <c r="D72" i="3"/>
  <c r="L38" i="3"/>
  <c r="D76" i="3"/>
  <c r="L42" i="3"/>
  <c r="D80" i="3"/>
  <c r="L46" i="3"/>
  <c r="D50" i="3"/>
  <c r="D84" i="3"/>
  <c r="L50" i="3"/>
  <c r="D54" i="3"/>
  <c r="L54" i="3"/>
  <c r="D88" i="3"/>
  <c r="H74" i="3"/>
  <c r="M40" i="3"/>
  <c r="H78" i="3"/>
  <c r="M44" i="3"/>
  <c r="H82" i="3"/>
  <c r="M48" i="3"/>
  <c r="H86" i="3"/>
  <c r="M52" i="3"/>
  <c r="J84" i="3"/>
  <c r="N50" i="3"/>
  <c r="N54" i="3"/>
  <c r="J88" i="3"/>
  <c r="D25" i="3"/>
  <c r="N39" i="3"/>
  <c r="N44" i="3"/>
  <c r="N48" i="3"/>
  <c r="C75" i="3"/>
  <c r="C41" i="3"/>
  <c r="C79" i="3"/>
  <c r="C45" i="3"/>
  <c r="C83" i="3"/>
  <c r="K49" i="3"/>
  <c r="C49" i="3"/>
  <c r="K53" i="3"/>
  <c r="C87" i="3"/>
  <c r="C53" i="3"/>
  <c r="D73" i="3"/>
  <c r="L39" i="3"/>
  <c r="D77" i="3"/>
  <c r="D43" i="3"/>
  <c r="D85" i="3"/>
  <c r="D51" i="3"/>
  <c r="L51" i="3"/>
  <c r="D89" i="3"/>
  <c r="D55" i="3"/>
  <c r="L55" i="3"/>
  <c r="H75" i="3"/>
  <c r="M41" i="3"/>
  <c r="H79" i="3"/>
  <c r="M45" i="3"/>
  <c r="H83" i="3"/>
  <c r="M49" i="3"/>
  <c r="H87" i="3"/>
  <c r="M53" i="3"/>
  <c r="J77" i="3"/>
  <c r="N43" i="3"/>
  <c r="J85" i="3"/>
  <c r="N51" i="3"/>
  <c r="N55" i="3"/>
  <c r="J89" i="3"/>
  <c r="E25" i="3"/>
  <c r="I25" i="3"/>
  <c r="O25" i="3"/>
  <c r="K37" i="3"/>
  <c r="D38" i="3"/>
  <c r="N38" i="3"/>
  <c r="K41" i="3"/>
  <c r="C43" i="3"/>
  <c r="L43" i="3"/>
  <c r="C38" i="3"/>
  <c r="C76" i="3"/>
  <c r="K42" i="3"/>
  <c r="C46" i="3"/>
  <c r="C88" i="3"/>
  <c r="K54" i="3"/>
  <c r="C54" i="3"/>
  <c r="D74" i="3"/>
  <c r="L40" i="3"/>
  <c r="D78" i="3"/>
  <c r="L44" i="3"/>
  <c r="D82" i="3"/>
  <c r="L48" i="3"/>
  <c r="D86" i="3"/>
  <c r="D52" i="3"/>
  <c r="L52" i="3"/>
  <c r="H72" i="3"/>
  <c r="M38" i="3"/>
  <c r="H80" i="3"/>
  <c r="M46" i="3"/>
  <c r="H84" i="3"/>
  <c r="M50" i="3"/>
  <c r="H88" i="3"/>
  <c r="M54" i="3"/>
  <c r="J86" i="3"/>
  <c r="N52" i="3"/>
  <c r="F25" i="3"/>
  <c r="K25" i="3"/>
  <c r="P25" i="3"/>
  <c r="U25" i="3"/>
  <c r="D36" i="3"/>
  <c r="D37" i="3"/>
  <c r="K40" i="3"/>
  <c r="D41" i="3"/>
  <c r="N41" i="3"/>
  <c r="C42" i="3"/>
  <c r="M42" i="3"/>
  <c r="M43" i="3"/>
  <c r="K45" i="3"/>
  <c r="D46" i="3"/>
  <c r="N46" i="3"/>
  <c r="N47" i="3"/>
  <c r="D48" i="3"/>
  <c r="AB52" i="3"/>
  <c r="AA52" i="3"/>
  <c r="AB51" i="3"/>
  <c r="AA51" i="3"/>
  <c r="AA53" i="3"/>
  <c r="AA54" i="3"/>
  <c r="C83" i="1"/>
  <c r="P24" i="1"/>
  <c r="C49" i="1"/>
  <c r="K49" i="1"/>
  <c r="D85" i="1"/>
  <c r="L51" i="1"/>
  <c r="D51" i="1"/>
  <c r="C80" i="1"/>
  <c r="C46" i="1"/>
  <c r="K46" i="1"/>
  <c r="M24" i="1"/>
  <c r="M17" i="1"/>
  <c r="D74" i="1"/>
  <c r="D40" i="1"/>
  <c r="L40" i="1"/>
  <c r="D78" i="1"/>
  <c r="D44" i="1"/>
  <c r="L44" i="1"/>
  <c r="C73" i="1"/>
  <c r="C39" i="1"/>
  <c r="K39" i="1"/>
  <c r="C81" i="1"/>
  <c r="C47" i="1"/>
  <c r="K47" i="1"/>
  <c r="D75" i="1"/>
  <c r="L41" i="1"/>
  <c r="D41" i="1"/>
  <c r="D83" i="1"/>
  <c r="D49" i="1"/>
  <c r="L49" i="1"/>
  <c r="H73" i="1"/>
  <c r="M39" i="1"/>
  <c r="C36" i="1"/>
  <c r="K36" i="1"/>
  <c r="C74" i="1"/>
  <c r="C40" i="1"/>
  <c r="K40" i="1"/>
  <c r="C78" i="1"/>
  <c r="C44" i="1"/>
  <c r="K44" i="1"/>
  <c r="C82" i="1"/>
  <c r="C48" i="1"/>
  <c r="K48" i="1"/>
  <c r="C52" i="1"/>
  <c r="K52" i="1"/>
  <c r="C86" i="1"/>
  <c r="D72" i="1"/>
  <c r="D38" i="1"/>
  <c r="L38" i="1"/>
  <c r="D76" i="1"/>
  <c r="L42" i="1"/>
  <c r="D42" i="1"/>
  <c r="D80" i="1"/>
  <c r="D46" i="1"/>
  <c r="L46" i="1"/>
  <c r="D84" i="1"/>
  <c r="L50" i="1"/>
  <c r="D50" i="1"/>
  <c r="D88" i="1"/>
  <c r="D54" i="1"/>
  <c r="L54" i="1"/>
  <c r="H74" i="1"/>
  <c r="M40" i="1"/>
  <c r="H78" i="1"/>
  <c r="M44" i="1"/>
  <c r="H82" i="1"/>
  <c r="M48" i="1"/>
  <c r="M52" i="1"/>
  <c r="H86" i="1"/>
  <c r="J72" i="1"/>
  <c r="N38" i="1"/>
  <c r="J76" i="1"/>
  <c r="N42" i="1"/>
  <c r="J80" i="1"/>
  <c r="N46" i="1"/>
  <c r="J84" i="1"/>
  <c r="N50" i="1"/>
  <c r="F17" i="1"/>
  <c r="F28" i="1" s="1"/>
  <c r="F29" i="1" s="1"/>
  <c r="K17" i="1"/>
  <c r="P17" i="1"/>
  <c r="C24" i="1"/>
  <c r="K24" i="1"/>
  <c r="S24" i="1"/>
  <c r="C75" i="1"/>
  <c r="C41" i="1"/>
  <c r="H24" i="1"/>
  <c r="K41" i="1"/>
  <c r="D35" i="1"/>
  <c r="L35" i="1"/>
  <c r="D81" i="1"/>
  <c r="D47" i="1"/>
  <c r="L47" i="1"/>
  <c r="H71" i="1"/>
  <c r="M37" i="1"/>
  <c r="H75" i="1"/>
  <c r="M41" i="1"/>
  <c r="H79" i="1"/>
  <c r="M45" i="1"/>
  <c r="H83" i="1"/>
  <c r="M49" i="1"/>
  <c r="H87" i="1"/>
  <c r="M53" i="1"/>
  <c r="J73" i="1"/>
  <c r="N39" i="1"/>
  <c r="J77" i="1"/>
  <c r="N43" i="1"/>
  <c r="J81" i="1"/>
  <c r="N47" i="1"/>
  <c r="J85" i="1"/>
  <c r="N51" i="1"/>
  <c r="G17" i="1"/>
  <c r="F24" i="1"/>
  <c r="N24" i="1"/>
  <c r="C79" i="1"/>
  <c r="L24" i="1"/>
  <c r="C45" i="1"/>
  <c r="K45" i="1"/>
  <c r="D73" i="1"/>
  <c r="D39" i="1"/>
  <c r="L39" i="1"/>
  <c r="C72" i="1"/>
  <c r="C38" i="1"/>
  <c r="K38" i="1"/>
  <c r="E24" i="1"/>
  <c r="E17" i="1"/>
  <c r="E28" i="1" s="1"/>
  <c r="E29" i="1" s="1"/>
  <c r="C84" i="1"/>
  <c r="K50" i="1"/>
  <c r="C50" i="1"/>
  <c r="Q24" i="1"/>
  <c r="Q17" i="1"/>
  <c r="D82" i="1"/>
  <c r="D48" i="1"/>
  <c r="L48" i="1"/>
  <c r="H72" i="1"/>
  <c r="M38" i="1"/>
  <c r="H76" i="1"/>
  <c r="M42" i="1"/>
  <c r="H80" i="1"/>
  <c r="M46" i="1"/>
  <c r="H84" i="1"/>
  <c r="M50" i="1"/>
  <c r="H88" i="1"/>
  <c r="M54" i="1"/>
  <c r="J74" i="1"/>
  <c r="N40" i="1"/>
  <c r="J78" i="1"/>
  <c r="N44" i="1"/>
  <c r="J82" i="1"/>
  <c r="N48" i="1"/>
  <c r="J86" i="1"/>
  <c r="N52" i="1"/>
  <c r="C17" i="1"/>
  <c r="C28" i="1" s="1"/>
  <c r="C29" i="1" s="1"/>
  <c r="H17" i="1"/>
  <c r="H28" i="1" s="1"/>
  <c r="H29" i="1" s="1"/>
  <c r="N17" i="1"/>
  <c r="S17" i="1"/>
  <c r="G24" i="1"/>
  <c r="O24" i="1"/>
  <c r="C71" i="1"/>
  <c r="D24" i="1"/>
  <c r="C37" i="1"/>
  <c r="K37" i="1"/>
  <c r="C87" i="1"/>
  <c r="C53" i="1"/>
  <c r="K53" i="1"/>
  <c r="T24" i="1"/>
  <c r="D77" i="1"/>
  <c r="D43" i="1"/>
  <c r="L43" i="1"/>
  <c r="C76" i="1"/>
  <c r="K42" i="1"/>
  <c r="C42" i="1"/>
  <c r="I24" i="1"/>
  <c r="I17" i="1"/>
  <c r="I28" i="1" s="1"/>
  <c r="I29" i="1" s="1"/>
  <c r="C88" i="1"/>
  <c r="C54" i="1"/>
  <c r="K54" i="1"/>
  <c r="U24" i="1"/>
  <c r="U17" i="1"/>
  <c r="U28" i="1" s="1"/>
  <c r="U29" i="1" s="1"/>
  <c r="D36" i="1"/>
  <c r="L36" i="1"/>
  <c r="L52" i="1"/>
  <c r="D86" i="1"/>
  <c r="D52" i="1"/>
  <c r="C35" i="1"/>
  <c r="E35" i="1" s="1"/>
  <c r="K35" i="1"/>
  <c r="C77" i="1"/>
  <c r="C43" i="1"/>
  <c r="K43" i="1"/>
  <c r="C85" i="1"/>
  <c r="K51" i="1"/>
  <c r="C51" i="1"/>
  <c r="D71" i="1"/>
  <c r="D37" i="1"/>
  <c r="L37" i="1"/>
  <c r="D79" i="1"/>
  <c r="D45" i="1"/>
  <c r="L45" i="1"/>
  <c r="D53" i="1"/>
  <c r="L53" i="1"/>
  <c r="D87" i="1"/>
  <c r="H77" i="1"/>
  <c r="M43" i="1"/>
  <c r="H81" i="1"/>
  <c r="M47" i="1"/>
  <c r="M51" i="1"/>
  <c r="H85" i="1"/>
  <c r="J71" i="1"/>
  <c r="N37" i="1"/>
  <c r="J75" i="1"/>
  <c r="N41" i="1"/>
  <c r="J79" i="1"/>
  <c r="N45" i="1"/>
  <c r="J83" i="1"/>
  <c r="N49" i="1"/>
  <c r="N53" i="1"/>
  <c r="J87" i="1"/>
  <c r="D17" i="1"/>
  <c r="D28" i="1" s="1"/>
  <c r="D29" i="1" s="1"/>
  <c r="J17" i="1"/>
  <c r="O17" i="1"/>
  <c r="T17" i="1"/>
  <c r="T28" i="1" s="1"/>
  <c r="T29" i="1" s="1"/>
  <c r="B24" i="1"/>
  <c r="J24" i="1"/>
  <c r="R24" i="1"/>
  <c r="N54" i="1"/>
  <c r="J88" i="1"/>
  <c r="AB42" i="1"/>
  <c r="AB43" i="1"/>
  <c r="AB44" i="1"/>
  <c r="AB45" i="1"/>
  <c r="AB46" i="1"/>
  <c r="AB47" i="1"/>
  <c r="AB48" i="1"/>
  <c r="AB50" i="1"/>
  <c r="AA50" i="1"/>
  <c r="AA51" i="1"/>
  <c r="AA52" i="1"/>
  <c r="AA53" i="1"/>
  <c r="C86" i="3" l="1"/>
  <c r="Q12" i="18"/>
  <c r="Q12" i="19"/>
  <c r="Q9" i="18"/>
  <c r="Q9" i="19"/>
  <c r="Q13" i="18"/>
  <c r="Q13" i="19"/>
  <c r="Q11" i="18"/>
  <c r="Q11" i="19"/>
  <c r="Q14" i="18"/>
  <c r="Q14" i="19"/>
  <c r="Q10" i="18"/>
  <c r="Q10" i="19"/>
  <c r="C4" i="14"/>
  <c r="I33" i="14" s="1"/>
  <c r="E42" i="1"/>
  <c r="J21" i="7"/>
  <c r="H19" i="7"/>
  <c r="H19" i="9" s="1"/>
  <c r="N14" i="7"/>
  <c r="N14" i="9" s="1"/>
  <c r="N14" i="14" s="1"/>
  <c r="N14" i="17" s="1"/>
  <c r="N14" i="18" s="1"/>
  <c r="M10" i="7"/>
  <c r="M10" i="9" s="1"/>
  <c r="M10" i="14" s="1"/>
  <c r="M10" i="17" s="1"/>
  <c r="M10" i="18" s="1"/>
  <c r="L6" i="7"/>
  <c r="L6" i="9" s="1"/>
  <c r="L6" i="14" s="1"/>
  <c r="L6" i="17" s="1"/>
  <c r="L6" i="18" s="1"/>
  <c r="I5" i="7"/>
  <c r="I5" i="9" s="1"/>
  <c r="I5" i="14" s="1"/>
  <c r="I5" i="17" s="1"/>
  <c r="I5" i="18" s="1"/>
  <c r="I5" i="19" s="1"/>
  <c r="D13" i="7"/>
  <c r="D13" i="9" s="1"/>
  <c r="D13" i="14" s="1"/>
  <c r="D13" i="17" s="1"/>
  <c r="D13" i="18" s="1"/>
  <c r="N21" i="7"/>
  <c r="N21" i="9" s="1"/>
  <c r="M17" i="7"/>
  <c r="M17" i="9" s="1"/>
  <c r="M17" i="14" s="1"/>
  <c r="M17" i="17" s="1"/>
  <c r="M17" i="18" s="1"/>
  <c r="L13" i="7"/>
  <c r="L13" i="9" s="1"/>
  <c r="L13" i="14" s="1"/>
  <c r="L13" i="17" s="1"/>
  <c r="L13" i="18" s="1"/>
  <c r="K9" i="7"/>
  <c r="K9" i="9" s="1"/>
  <c r="K9" i="14" s="1"/>
  <c r="K9" i="17" s="1"/>
  <c r="K9" i="18" s="1"/>
  <c r="E9" i="7"/>
  <c r="E9" i="9" s="1"/>
  <c r="E9" i="14" s="1"/>
  <c r="C18" i="7"/>
  <c r="C18" i="9" s="1"/>
  <c r="C18" i="14" s="1"/>
  <c r="J20" i="7"/>
  <c r="J20" i="9" s="1"/>
  <c r="H20" i="7"/>
  <c r="H20" i="9" s="1"/>
  <c r="H20" i="14" s="1"/>
  <c r="H14" i="7"/>
  <c r="H14" i="9" s="1"/>
  <c r="H6" i="7"/>
  <c r="H6" i="9" s="1"/>
  <c r="H6" i="14" s="1"/>
  <c r="C19" i="7"/>
  <c r="C19" i="9" s="1"/>
  <c r="C19" i="14" s="1"/>
  <c r="N12" i="7"/>
  <c r="N12" i="9" s="1"/>
  <c r="N12" i="14" s="1"/>
  <c r="N12" i="17" s="1"/>
  <c r="N12" i="18" s="1"/>
  <c r="M20" i="7"/>
  <c r="M20" i="9" s="1"/>
  <c r="M20" i="14" s="1"/>
  <c r="M20" i="17" s="1"/>
  <c r="M20" i="18" s="1"/>
  <c r="M8" i="7"/>
  <c r="M8" i="9" s="1"/>
  <c r="M8" i="14" s="1"/>
  <c r="M8" i="17" s="1"/>
  <c r="M8" i="18" s="1"/>
  <c r="L16" i="7"/>
  <c r="L16" i="9" s="1"/>
  <c r="L16" i="14" s="1"/>
  <c r="L16" i="17" s="1"/>
  <c r="L16" i="18" s="1"/>
  <c r="L4" i="7"/>
  <c r="L4" i="9" s="1"/>
  <c r="L4" i="14" s="1"/>
  <c r="L4" i="17" s="1"/>
  <c r="L4" i="18" s="1"/>
  <c r="K12" i="7"/>
  <c r="K12" i="9" s="1"/>
  <c r="K12" i="14" s="1"/>
  <c r="K12" i="17" s="1"/>
  <c r="K12" i="18" s="1"/>
  <c r="G5" i="7"/>
  <c r="G5" i="9" s="1"/>
  <c r="G5" i="14" s="1"/>
  <c r="G5" i="17" s="1"/>
  <c r="G5" i="18" s="1"/>
  <c r="G5" i="19" s="1"/>
  <c r="E14" i="7"/>
  <c r="E14" i="9" s="1"/>
  <c r="E14" i="14" s="1"/>
  <c r="D11" i="7"/>
  <c r="D11" i="9" s="1"/>
  <c r="D11" i="14" s="1"/>
  <c r="D11" i="17" s="1"/>
  <c r="D11" i="18" s="1"/>
  <c r="C17" i="7"/>
  <c r="C17" i="9" s="1"/>
  <c r="C17" i="14" s="1"/>
  <c r="N19" i="7"/>
  <c r="N19" i="9" s="1"/>
  <c r="N19" i="14" s="1"/>
  <c r="N19" i="17" s="1"/>
  <c r="N19" i="18" s="1"/>
  <c r="N7" i="7"/>
  <c r="N7" i="9" s="1"/>
  <c r="N7" i="14" s="1"/>
  <c r="N7" i="17" s="1"/>
  <c r="N7" i="18" s="1"/>
  <c r="M15" i="7"/>
  <c r="M15" i="9" s="1"/>
  <c r="M15" i="14" s="1"/>
  <c r="M15" i="17" s="1"/>
  <c r="M15" i="18" s="1"/>
  <c r="L23" i="7"/>
  <c r="L23" i="9" s="1"/>
  <c r="L11" i="7"/>
  <c r="L11" i="9" s="1"/>
  <c r="L11" i="14" s="1"/>
  <c r="L11" i="17" s="1"/>
  <c r="L11" i="18" s="1"/>
  <c r="K19" i="7"/>
  <c r="K19" i="9" s="1"/>
  <c r="K19" i="14" s="1"/>
  <c r="K19" i="17" s="1"/>
  <c r="K19" i="18" s="1"/>
  <c r="K7" i="7"/>
  <c r="K7" i="9" s="1"/>
  <c r="K7" i="14" s="1"/>
  <c r="K7" i="17" s="1"/>
  <c r="K7" i="18" s="1"/>
  <c r="E21" i="7"/>
  <c r="E21" i="9" s="1"/>
  <c r="D22" i="7"/>
  <c r="D22" i="9" s="1"/>
  <c r="D10" i="7"/>
  <c r="D10" i="9" s="1"/>
  <c r="D10" i="14" s="1"/>
  <c r="D10" i="17" s="1"/>
  <c r="D10" i="18" s="1"/>
  <c r="C16" i="7"/>
  <c r="C16" i="9" s="1"/>
  <c r="C16" i="14" s="1"/>
  <c r="J11" i="7"/>
  <c r="H9" i="7"/>
  <c r="M22" i="7"/>
  <c r="M22" i="9" s="1"/>
  <c r="L18" i="7"/>
  <c r="L18" i="9" s="1"/>
  <c r="L18" i="14" s="1"/>
  <c r="L18" i="17" s="1"/>
  <c r="L18" i="18" s="1"/>
  <c r="K14" i="7"/>
  <c r="K14" i="9" s="1"/>
  <c r="K14" i="14" s="1"/>
  <c r="K14" i="17" s="1"/>
  <c r="K14" i="18" s="1"/>
  <c r="E16" i="7"/>
  <c r="E16" i="9" s="1"/>
  <c r="E16" i="14" s="1"/>
  <c r="C21" i="7"/>
  <c r="C21" i="9" s="1"/>
  <c r="N9" i="7"/>
  <c r="N9" i="9" s="1"/>
  <c r="N9" i="14" s="1"/>
  <c r="N9" i="17" s="1"/>
  <c r="N9" i="18" s="1"/>
  <c r="M5" i="7"/>
  <c r="M5" i="9" s="1"/>
  <c r="M5" i="14" s="1"/>
  <c r="M5" i="17" s="1"/>
  <c r="M5" i="18" s="1"/>
  <c r="K21" i="7"/>
  <c r="K21" i="9" s="1"/>
  <c r="E23" i="7"/>
  <c r="E23" i="9" s="1"/>
  <c r="D12" i="7"/>
  <c r="D12" i="9" s="1"/>
  <c r="D12" i="14" s="1"/>
  <c r="D12" i="17" s="1"/>
  <c r="D12" i="18" s="1"/>
  <c r="R25" i="3"/>
  <c r="D50" i="4"/>
  <c r="J19" i="7"/>
  <c r="J19" i="9" s="1"/>
  <c r="J19" i="14" s="1"/>
  <c r="L48" i="9"/>
  <c r="H23" i="7"/>
  <c r="H23" i="9" s="1"/>
  <c r="K52" i="9" s="1"/>
  <c r="H17" i="7"/>
  <c r="H17" i="9" s="1"/>
  <c r="H17" i="14" s="1"/>
  <c r="H7" i="7"/>
  <c r="H7" i="9" s="1"/>
  <c r="C38" i="5"/>
  <c r="N22" i="7"/>
  <c r="N22" i="9" s="1"/>
  <c r="N10" i="7"/>
  <c r="N10" i="9" s="1"/>
  <c r="N10" i="14" s="1"/>
  <c r="N10" i="17" s="1"/>
  <c r="N10" i="18" s="1"/>
  <c r="M18" i="7"/>
  <c r="M18" i="9" s="1"/>
  <c r="M18" i="14" s="1"/>
  <c r="M18" i="17" s="1"/>
  <c r="M18" i="18" s="1"/>
  <c r="M6" i="7"/>
  <c r="M6" i="9" s="1"/>
  <c r="M6" i="14" s="1"/>
  <c r="M6" i="17" s="1"/>
  <c r="M6" i="18" s="1"/>
  <c r="L14" i="7"/>
  <c r="L14" i="9" s="1"/>
  <c r="L14" i="14" s="1"/>
  <c r="L14" i="17" s="1"/>
  <c r="L14" i="18" s="1"/>
  <c r="K22" i="7"/>
  <c r="K22" i="9" s="1"/>
  <c r="K10" i="7"/>
  <c r="K10" i="9" s="1"/>
  <c r="K10" i="14" s="1"/>
  <c r="K10" i="17" s="1"/>
  <c r="K10" i="18" s="1"/>
  <c r="F5" i="7"/>
  <c r="F5" i="9" s="1"/>
  <c r="F5" i="14" s="1"/>
  <c r="F5" i="17" s="1"/>
  <c r="F5" i="18" s="1"/>
  <c r="E6" i="7"/>
  <c r="E6" i="9" s="1"/>
  <c r="E6" i="14" s="1"/>
  <c r="D9" i="7"/>
  <c r="D9" i="9" s="1"/>
  <c r="D9" i="14" s="1"/>
  <c r="D9" i="17" s="1"/>
  <c r="D9" i="18" s="1"/>
  <c r="C13" i="7"/>
  <c r="C13" i="9" s="1"/>
  <c r="C13" i="14" s="1"/>
  <c r="N17" i="7"/>
  <c r="N17" i="9" s="1"/>
  <c r="N17" i="14" s="1"/>
  <c r="N17" i="17" s="1"/>
  <c r="N17" i="18" s="1"/>
  <c r="N5" i="7"/>
  <c r="N5" i="9" s="1"/>
  <c r="N5" i="14" s="1"/>
  <c r="N5" i="17" s="1"/>
  <c r="N5" i="18" s="1"/>
  <c r="M13" i="7"/>
  <c r="M13" i="9" s="1"/>
  <c r="M13" i="14" s="1"/>
  <c r="M13" i="17" s="1"/>
  <c r="M13" i="18" s="1"/>
  <c r="L21" i="7"/>
  <c r="L21" i="9" s="1"/>
  <c r="L9" i="7"/>
  <c r="L9" i="9" s="1"/>
  <c r="L9" i="14" s="1"/>
  <c r="L9" i="17" s="1"/>
  <c r="L9" i="18" s="1"/>
  <c r="K17" i="7"/>
  <c r="K17" i="9" s="1"/>
  <c r="K17" i="14" s="1"/>
  <c r="K17" i="17" s="1"/>
  <c r="K17" i="18" s="1"/>
  <c r="K5" i="7"/>
  <c r="K5" i="9" s="1"/>
  <c r="K5" i="14" s="1"/>
  <c r="K5" i="17" s="1"/>
  <c r="K5" i="18" s="1"/>
  <c r="E19" i="7"/>
  <c r="D20" i="7"/>
  <c r="D20" i="9" s="1"/>
  <c r="D20" i="14" s="1"/>
  <c r="D20" i="17" s="1"/>
  <c r="D20" i="18" s="1"/>
  <c r="D8" i="7"/>
  <c r="D8" i="9" s="1"/>
  <c r="D8" i="14" s="1"/>
  <c r="D8" i="17" s="1"/>
  <c r="D8" i="18" s="1"/>
  <c r="C12" i="7"/>
  <c r="B41" i="7" s="1"/>
  <c r="J18" i="7"/>
  <c r="H18" i="7"/>
  <c r="H18" i="9" s="1"/>
  <c r="H12" i="7"/>
  <c r="N20" i="7"/>
  <c r="N20" i="9" s="1"/>
  <c r="N20" i="14" s="1"/>
  <c r="N20" i="17" s="1"/>
  <c r="N20" i="18" s="1"/>
  <c r="N8" i="7"/>
  <c r="N8" i="9" s="1"/>
  <c r="N8" i="14" s="1"/>
  <c r="N8" i="17" s="1"/>
  <c r="N8" i="18" s="1"/>
  <c r="M4" i="7"/>
  <c r="M4" i="9" s="1"/>
  <c r="M4" i="14" s="1"/>
  <c r="M4" i="17" s="1"/>
  <c r="M4" i="18" s="1"/>
  <c r="L12" i="7"/>
  <c r="L12" i="9" s="1"/>
  <c r="L12" i="14" s="1"/>
  <c r="L12" i="17" s="1"/>
  <c r="L12" i="18" s="1"/>
  <c r="K20" i="7"/>
  <c r="K20" i="9" s="1"/>
  <c r="K20" i="14" s="1"/>
  <c r="K20" i="17" s="1"/>
  <c r="K20" i="18" s="1"/>
  <c r="K8" i="7"/>
  <c r="K8" i="9" s="1"/>
  <c r="K8" i="14" s="1"/>
  <c r="K8" i="17" s="1"/>
  <c r="K8" i="18" s="1"/>
  <c r="E22" i="7"/>
  <c r="E22" i="9" s="1"/>
  <c r="D23" i="7"/>
  <c r="D23" i="9" s="1"/>
  <c r="D7" i="7"/>
  <c r="D7" i="9" s="1"/>
  <c r="D7" i="14" s="1"/>
  <c r="D7" i="17" s="1"/>
  <c r="D7" i="18" s="1"/>
  <c r="C9" i="7"/>
  <c r="C9" i="9" s="1"/>
  <c r="N15" i="7"/>
  <c r="N15" i="9" s="1"/>
  <c r="N15" i="14" s="1"/>
  <c r="N15" i="17" s="1"/>
  <c r="N15" i="18" s="1"/>
  <c r="M23" i="7"/>
  <c r="M23" i="9" s="1"/>
  <c r="M11" i="7"/>
  <c r="M11" i="9" s="1"/>
  <c r="M11" i="14" s="1"/>
  <c r="M11" i="17" s="1"/>
  <c r="M11" i="18" s="1"/>
  <c r="L19" i="7"/>
  <c r="L19" i="9" s="1"/>
  <c r="L19" i="14" s="1"/>
  <c r="L19" i="17" s="1"/>
  <c r="L19" i="18" s="1"/>
  <c r="L7" i="7"/>
  <c r="L7" i="9" s="1"/>
  <c r="L7" i="14" s="1"/>
  <c r="L7" i="17" s="1"/>
  <c r="L7" i="18" s="1"/>
  <c r="K15" i="7"/>
  <c r="K15" i="9" s="1"/>
  <c r="K15" i="14" s="1"/>
  <c r="K15" i="17" s="1"/>
  <c r="K15" i="18" s="1"/>
  <c r="I4" i="7"/>
  <c r="I4" i="9" s="1"/>
  <c r="I4" i="14" s="1"/>
  <c r="I4" i="17" s="1"/>
  <c r="I4" i="18" s="1"/>
  <c r="I4" i="19" s="1"/>
  <c r="E17" i="7"/>
  <c r="D18" i="7"/>
  <c r="D18" i="9" s="1"/>
  <c r="D18" i="14" s="1"/>
  <c r="D18" i="17" s="1"/>
  <c r="D18" i="18" s="1"/>
  <c r="D6" i="7"/>
  <c r="D6" i="9" s="1"/>
  <c r="D6" i="14" s="1"/>
  <c r="D6" i="17" s="1"/>
  <c r="D6" i="18" s="1"/>
  <c r="C10" i="7"/>
  <c r="C10" i="9" s="1"/>
  <c r="M16" i="7"/>
  <c r="M16" i="9" s="1"/>
  <c r="M16" i="14" s="1"/>
  <c r="M16" i="17" s="1"/>
  <c r="M16" i="18" s="1"/>
  <c r="J45" i="5"/>
  <c r="I50" i="5"/>
  <c r="J23" i="7"/>
  <c r="J17" i="7"/>
  <c r="J17" i="9" s="1"/>
  <c r="J17" i="14" s="1"/>
  <c r="H21" i="7"/>
  <c r="H21" i="9" s="1"/>
  <c r="K50" i="9" s="1"/>
  <c r="H13" i="7"/>
  <c r="J52" i="5"/>
  <c r="B47" i="5"/>
  <c r="N18" i="7"/>
  <c r="N18" i="9" s="1"/>
  <c r="N18" i="14" s="1"/>
  <c r="N18" i="17" s="1"/>
  <c r="N18" i="18" s="1"/>
  <c r="N6" i="7"/>
  <c r="N6" i="9" s="1"/>
  <c r="N6" i="14" s="1"/>
  <c r="N6" i="17" s="1"/>
  <c r="N6" i="18" s="1"/>
  <c r="M14" i="7"/>
  <c r="M14" i="9" s="1"/>
  <c r="M14" i="14" s="1"/>
  <c r="M14" i="17" s="1"/>
  <c r="M14" i="18" s="1"/>
  <c r="L22" i="7"/>
  <c r="L22" i="9" s="1"/>
  <c r="L10" i="7"/>
  <c r="L10" i="9" s="1"/>
  <c r="L10" i="14" s="1"/>
  <c r="L10" i="17" s="1"/>
  <c r="L10" i="18" s="1"/>
  <c r="K18" i="7"/>
  <c r="K18" i="9" s="1"/>
  <c r="K18" i="14" s="1"/>
  <c r="K18" i="17" s="1"/>
  <c r="K18" i="18" s="1"/>
  <c r="K6" i="7"/>
  <c r="K6" i="9" s="1"/>
  <c r="K6" i="14" s="1"/>
  <c r="K6" i="17" s="1"/>
  <c r="K6" i="18" s="1"/>
  <c r="E20" i="7"/>
  <c r="D21" i="7"/>
  <c r="D21" i="9" s="1"/>
  <c r="D5" i="7"/>
  <c r="D5" i="9" s="1"/>
  <c r="D5" i="14" s="1"/>
  <c r="D5" i="17" s="1"/>
  <c r="D5" i="18" s="1"/>
  <c r="C7" i="7"/>
  <c r="N13" i="7"/>
  <c r="N13" i="9" s="1"/>
  <c r="N13" i="14" s="1"/>
  <c r="N13" i="17" s="1"/>
  <c r="N13" i="18" s="1"/>
  <c r="M21" i="7"/>
  <c r="M21" i="9" s="1"/>
  <c r="M9" i="7"/>
  <c r="M9" i="9" s="1"/>
  <c r="M9" i="14" s="1"/>
  <c r="M9" i="17" s="1"/>
  <c r="M9" i="18" s="1"/>
  <c r="L17" i="7"/>
  <c r="L17" i="9" s="1"/>
  <c r="L17" i="14" s="1"/>
  <c r="L17" i="17" s="1"/>
  <c r="L17" i="18" s="1"/>
  <c r="L5" i="7"/>
  <c r="L5" i="9" s="1"/>
  <c r="L5" i="14" s="1"/>
  <c r="L5" i="17" s="1"/>
  <c r="L5" i="18" s="1"/>
  <c r="K13" i="7"/>
  <c r="K13" i="9" s="1"/>
  <c r="K13" i="14" s="1"/>
  <c r="K13" i="17" s="1"/>
  <c r="K13" i="18" s="1"/>
  <c r="G4" i="7"/>
  <c r="G4" i="9" s="1"/>
  <c r="G4" i="14" s="1"/>
  <c r="G4" i="17" s="1"/>
  <c r="G4" i="18" s="1"/>
  <c r="G4" i="19" s="1"/>
  <c r="E13" i="7"/>
  <c r="E13" i="9" s="1"/>
  <c r="E13" i="14" s="1"/>
  <c r="D16" i="7"/>
  <c r="D16" i="9" s="1"/>
  <c r="D16" i="14" s="1"/>
  <c r="D16" i="17" s="1"/>
  <c r="D16" i="18" s="1"/>
  <c r="D4" i="7"/>
  <c r="D4" i="9" s="1"/>
  <c r="D4" i="14" s="1"/>
  <c r="D4" i="17" s="1"/>
  <c r="D4" i="18" s="1"/>
  <c r="C8" i="7"/>
  <c r="C8" i="9" s="1"/>
  <c r="C8" i="14" s="1"/>
  <c r="J22" i="7"/>
  <c r="H22" i="7"/>
  <c r="H22" i="9" s="1"/>
  <c r="K51" i="9"/>
  <c r="H16" i="7"/>
  <c r="H16" i="9" s="1"/>
  <c r="H8" i="7"/>
  <c r="H8" i="9" s="1"/>
  <c r="H8" i="14" s="1"/>
  <c r="C45" i="5"/>
  <c r="B50" i="5"/>
  <c r="C11" i="7"/>
  <c r="C11" i="9" s="1"/>
  <c r="N16" i="7"/>
  <c r="N16" i="9" s="1"/>
  <c r="N16" i="14" s="1"/>
  <c r="N16" i="17" s="1"/>
  <c r="N16" i="18" s="1"/>
  <c r="N4" i="7"/>
  <c r="N4" i="9" s="1"/>
  <c r="N4" i="14" s="1"/>
  <c r="N4" i="17" s="1"/>
  <c r="N4" i="18" s="1"/>
  <c r="M12" i="7"/>
  <c r="M12" i="9" s="1"/>
  <c r="M12" i="14" s="1"/>
  <c r="M12" i="17" s="1"/>
  <c r="M12" i="18" s="1"/>
  <c r="L20" i="7"/>
  <c r="L20" i="9" s="1"/>
  <c r="L20" i="14" s="1"/>
  <c r="L20" i="17" s="1"/>
  <c r="L20" i="18" s="1"/>
  <c r="L8" i="7"/>
  <c r="L8" i="9" s="1"/>
  <c r="L8" i="14" s="1"/>
  <c r="L8" i="17" s="1"/>
  <c r="L8" i="18" s="1"/>
  <c r="K16" i="7"/>
  <c r="K16" i="9" s="1"/>
  <c r="K16" i="14" s="1"/>
  <c r="K16" i="17" s="1"/>
  <c r="K16" i="18" s="1"/>
  <c r="K4" i="7"/>
  <c r="K4" i="9" s="1"/>
  <c r="K4" i="14" s="1"/>
  <c r="K4" i="17" s="1"/>
  <c r="K4" i="18" s="1"/>
  <c r="E18" i="7"/>
  <c r="E18" i="9" s="1"/>
  <c r="E18" i="14" s="1"/>
  <c r="D17" i="7"/>
  <c r="D17" i="9" s="1"/>
  <c r="D17" i="14" s="1"/>
  <c r="D17" i="17" s="1"/>
  <c r="D17" i="18" s="1"/>
  <c r="C23" i="7"/>
  <c r="C23" i="9" s="1"/>
  <c r="N23" i="7"/>
  <c r="N23" i="9" s="1"/>
  <c r="N11" i="7"/>
  <c r="N11" i="9" s="1"/>
  <c r="N11" i="14" s="1"/>
  <c r="N11" i="17" s="1"/>
  <c r="N11" i="18" s="1"/>
  <c r="M19" i="7"/>
  <c r="M19" i="9" s="1"/>
  <c r="M19" i="14" s="1"/>
  <c r="M19" i="17" s="1"/>
  <c r="M19" i="18" s="1"/>
  <c r="M7" i="7"/>
  <c r="M7" i="9" s="1"/>
  <c r="M7" i="14" s="1"/>
  <c r="M7" i="17" s="1"/>
  <c r="M7" i="18" s="1"/>
  <c r="L15" i="7"/>
  <c r="L15" i="9" s="1"/>
  <c r="L15" i="14" s="1"/>
  <c r="L15" i="17" s="1"/>
  <c r="L15" i="18" s="1"/>
  <c r="K23" i="7"/>
  <c r="K23" i="9" s="1"/>
  <c r="K11" i="7"/>
  <c r="K11" i="9" s="1"/>
  <c r="K11" i="14" s="1"/>
  <c r="K11" i="17" s="1"/>
  <c r="K11" i="18" s="1"/>
  <c r="F4" i="7"/>
  <c r="F4" i="9" s="1"/>
  <c r="F4" i="14" s="1"/>
  <c r="F4" i="17" s="1"/>
  <c r="F4" i="18" s="1"/>
  <c r="E11" i="7"/>
  <c r="E11" i="9" s="1"/>
  <c r="E11" i="14" s="1"/>
  <c r="D14" i="7"/>
  <c r="D14" i="9" s="1"/>
  <c r="D14" i="14" s="1"/>
  <c r="D14" i="17" s="1"/>
  <c r="D14" i="18" s="1"/>
  <c r="C22" i="7"/>
  <c r="B51" i="7" s="1"/>
  <c r="C5" i="7"/>
  <c r="C5" i="9" s="1"/>
  <c r="C5" i="14" s="1"/>
  <c r="D70" i="5"/>
  <c r="B34" i="5"/>
  <c r="I51" i="5"/>
  <c r="I34" i="5"/>
  <c r="J40" i="5"/>
  <c r="C78" i="5"/>
  <c r="C6" i="5"/>
  <c r="C40" i="5"/>
  <c r="M48" i="4"/>
  <c r="N48" i="4" s="1"/>
  <c r="D74" i="5"/>
  <c r="E51" i="1"/>
  <c r="G51" i="1" s="1"/>
  <c r="C52" i="3"/>
  <c r="E52" i="3" s="1"/>
  <c r="M47" i="3"/>
  <c r="J50" i="5"/>
  <c r="D67" i="5"/>
  <c r="B45" i="5"/>
  <c r="D45" i="5" s="1"/>
  <c r="K52" i="3"/>
  <c r="O52" i="3" s="1"/>
  <c r="H81" i="3"/>
  <c r="B52" i="5"/>
  <c r="I46" i="5"/>
  <c r="B26" i="2"/>
  <c r="B38" i="2" s="1"/>
  <c r="B27" i="2"/>
  <c r="B39" i="2" s="1"/>
  <c r="B25" i="3"/>
  <c r="C80" i="3"/>
  <c r="K80" i="3" s="1"/>
  <c r="M50" i="4"/>
  <c r="N50" i="4" s="1"/>
  <c r="J43" i="5"/>
  <c r="D79" i="5"/>
  <c r="J38" i="5"/>
  <c r="I47" i="5"/>
  <c r="E44" i="3"/>
  <c r="B35" i="4"/>
  <c r="D35" i="4" s="1"/>
  <c r="C43" i="5"/>
  <c r="C69" i="5"/>
  <c r="K69" i="5" s="1"/>
  <c r="C50" i="5"/>
  <c r="D65" i="5"/>
  <c r="C74" i="5"/>
  <c r="K74" i="5" s="1"/>
  <c r="E40" i="3"/>
  <c r="J35" i="5"/>
  <c r="B46" i="5"/>
  <c r="D77" i="5"/>
  <c r="I45" i="5"/>
  <c r="K51" i="7"/>
  <c r="C36" i="3"/>
  <c r="E39" i="3"/>
  <c r="G39" i="3" s="1"/>
  <c r="C35" i="5"/>
  <c r="C73" i="5"/>
  <c r="K73" i="5" s="1"/>
  <c r="C65" i="5"/>
  <c r="K65" i="5" s="1"/>
  <c r="C52" i="5"/>
  <c r="D52" i="5" s="1"/>
  <c r="C46" i="5"/>
  <c r="C72" i="5"/>
  <c r="E37" i="3"/>
  <c r="F37" i="3" s="1"/>
  <c r="C47" i="5"/>
  <c r="D47" i="5" s="1"/>
  <c r="I38" i="5"/>
  <c r="C66" i="5"/>
  <c r="E42" i="3"/>
  <c r="F42" i="3" s="1"/>
  <c r="E54" i="3"/>
  <c r="G54" i="3" s="1"/>
  <c r="E53" i="3"/>
  <c r="F53" i="3" s="1"/>
  <c r="M46" i="4"/>
  <c r="N46" i="4" s="1"/>
  <c r="J49" i="5"/>
  <c r="I52" i="5"/>
  <c r="J46" i="5"/>
  <c r="C49" i="5"/>
  <c r="C79" i="5"/>
  <c r="K79" i="5" s="1"/>
  <c r="D73" i="5"/>
  <c r="I48" i="7"/>
  <c r="D76" i="5"/>
  <c r="I39" i="5"/>
  <c r="J47" i="5"/>
  <c r="B38" i="5"/>
  <c r="D38" i="5" s="1"/>
  <c r="F38" i="5" s="1"/>
  <c r="B39" i="5"/>
  <c r="L47" i="3"/>
  <c r="C47" i="3"/>
  <c r="D75" i="5"/>
  <c r="C68" i="5"/>
  <c r="K68" i="5" s="1"/>
  <c r="C25" i="7"/>
  <c r="K38" i="7"/>
  <c r="E43" i="1"/>
  <c r="F43" i="1" s="1"/>
  <c r="E54" i="1"/>
  <c r="G54" i="1" s="1"/>
  <c r="M25" i="3"/>
  <c r="K47" i="3"/>
  <c r="B48" i="7"/>
  <c r="L48" i="7"/>
  <c r="C27" i="5"/>
  <c r="D19" i="7"/>
  <c r="K52" i="7"/>
  <c r="K36" i="7"/>
  <c r="C51" i="5"/>
  <c r="D51" i="5" s="1"/>
  <c r="L49" i="7"/>
  <c r="L46" i="7"/>
  <c r="D42" i="4"/>
  <c r="F42" i="4" s="1"/>
  <c r="D78" i="5"/>
  <c r="J48" i="5"/>
  <c r="B41" i="5"/>
  <c r="K43" i="7"/>
  <c r="K35" i="7"/>
  <c r="C48" i="5"/>
  <c r="I41" i="5"/>
  <c r="C20" i="5"/>
  <c r="D15" i="5"/>
  <c r="C15" i="5"/>
  <c r="E12" i="5"/>
  <c r="C41" i="5" s="1"/>
  <c r="E8" i="5"/>
  <c r="E4" i="5"/>
  <c r="E7" i="5"/>
  <c r="D63" i="5" s="1"/>
  <c r="E10" i="5"/>
  <c r="D66" i="5" s="1"/>
  <c r="E5" i="5"/>
  <c r="I46" i="7"/>
  <c r="B46" i="7"/>
  <c r="I42" i="7"/>
  <c r="B42" i="7"/>
  <c r="C14" i="5"/>
  <c r="C70" i="5" s="1"/>
  <c r="J51" i="7"/>
  <c r="C51" i="7"/>
  <c r="J47" i="7"/>
  <c r="C47" i="7"/>
  <c r="J45" i="7"/>
  <c r="J43" i="7"/>
  <c r="C43" i="7"/>
  <c r="B52" i="7"/>
  <c r="I50" i="7"/>
  <c r="B50" i="7"/>
  <c r="I38" i="7"/>
  <c r="B38" i="7"/>
  <c r="C52" i="7"/>
  <c r="J52" i="7"/>
  <c r="C50" i="7"/>
  <c r="J50" i="7"/>
  <c r="C40" i="7"/>
  <c r="J40" i="7"/>
  <c r="C38" i="7"/>
  <c r="J38" i="7"/>
  <c r="B47" i="7"/>
  <c r="B37" i="7"/>
  <c r="I37" i="7"/>
  <c r="B49" i="5"/>
  <c r="K44" i="4"/>
  <c r="H15" i="5"/>
  <c r="L45" i="4"/>
  <c r="J16" i="5"/>
  <c r="L41" i="4"/>
  <c r="J12" i="5"/>
  <c r="L37" i="4"/>
  <c r="J8" i="5"/>
  <c r="K39" i="4"/>
  <c r="H10" i="5"/>
  <c r="D64" i="5"/>
  <c r="L36" i="4"/>
  <c r="J7" i="5"/>
  <c r="L43" i="4"/>
  <c r="J14" i="5"/>
  <c r="L39" i="4"/>
  <c r="J10" i="5"/>
  <c r="L35" i="4"/>
  <c r="M35" i="4" s="1"/>
  <c r="N35" i="4" s="1"/>
  <c r="J6" i="5"/>
  <c r="L42" i="4"/>
  <c r="M42" i="4" s="1"/>
  <c r="N42" i="4" s="1"/>
  <c r="J13" i="5"/>
  <c r="L38" i="4"/>
  <c r="M38" i="4" s="1"/>
  <c r="N38" i="4" s="1"/>
  <c r="J9" i="5"/>
  <c r="K40" i="4"/>
  <c r="M40" i="4" s="1"/>
  <c r="N40" i="4" s="1"/>
  <c r="H11" i="5"/>
  <c r="J78" i="5"/>
  <c r="L51" i="5"/>
  <c r="J76" i="5"/>
  <c r="L49" i="5"/>
  <c r="J74" i="5"/>
  <c r="L47" i="5"/>
  <c r="H78" i="5"/>
  <c r="K51" i="5"/>
  <c r="H76" i="5"/>
  <c r="K49" i="5"/>
  <c r="H74" i="5"/>
  <c r="K47" i="5"/>
  <c r="H72" i="5"/>
  <c r="K45" i="5"/>
  <c r="H70" i="5"/>
  <c r="K43" i="5"/>
  <c r="H68" i="5"/>
  <c r="K41" i="5"/>
  <c r="H64" i="5"/>
  <c r="K37" i="5"/>
  <c r="H62" i="5"/>
  <c r="K35" i="5"/>
  <c r="C75" i="5"/>
  <c r="I48" i="5"/>
  <c r="C25" i="5"/>
  <c r="B48" i="5"/>
  <c r="C67" i="5"/>
  <c r="A11" i="5"/>
  <c r="I40" i="5"/>
  <c r="B40" i="5"/>
  <c r="D50" i="5"/>
  <c r="C62" i="5"/>
  <c r="K62" i="5" s="1"/>
  <c r="I35" i="5"/>
  <c r="A6" i="5"/>
  <c r="B35" i="5"/>
  <c r="D35" i="5" s="1"/>
  <c r="K77" i="5"/>
  <c r="K63" i="5"/>
  <c r="J79" i="5"/>
  <c r="L52" i="5"/>
  <c r="J77" i="5"/>
  <c r="L50" i="5"/>
  <c r="J75" i="5"/>
  <c r="L48" i="5"/>
  <c r="J73" i="5"/>
  <c r="L46" i="5"/>
  <c r="J67" i="5"/>
  <c r="L40" i="5"/>
  <c r="H79" i="5"/>
  <c r="K52" i="5"/>
  <c r="H77" i="5"/>
  <c r="K50" i="5"/>
  <c r="H75" i="5"/>
  <c r="K48" i="5"/>
  <c r="H73" i="5"/>
  <c r="K46" i="5"/>
  <c r="H69" i="5"/>
  <c r="K42" i="5"/>
  <c r="H65" i="5"/>
  <c r="K38" i="5"/>
  <c r="H63" i="5"/>
  <c r="K36" i="5"/>
  <c r="D42" i="5"/>
  <c r="K78" i="5"/>
  <c r="K72" i="5"/>
  <c r="K66" i="5"/>
  <c r="K64" i="5"/>
  <c r="D38" i="4"/>
  <c r="F38" i="4" s="1"/>
  <c r="D47" i="4"/>
  <c r="E47" i="4" s="1"/>
  <c r="I85" i="3"/>
  <c r="I19" i="4"/>
  <c r="I77" i="3"/>
  <c r="I11" i="4"/>
  <c r="M36" i="3"/>
  <c r="H4" i="4"/>
  <c r="G83" i="3"/>
  <c r="G17" i="4"/>
  <c r="G75" i="3"/>
  <c r="G9" i="4"/>
  <c r="F83" i="3"/>
  <c r="F17" i="4"/>
  <c r="F75" i="3"/>
  <c r="F9" i="4"/>
  <c r="I33" i="4"/>
  <c r="B33" i="4"/>
  <c r="J81" i="3"/>
  <c r="J15" i="4"/>
  <c r="B44" i="4"/>
  <c r="I44" i="4"/>
  <c r="C41" i="4"/>
  <c r="D41" i="4" s="1"/>
  <c r="J41" i="4"/>
  <c r="J33" i="4"/>
  <c r="C33" i="4"/>
  <c r="D45" i="4"/>
  <c r="D46" i="4"/>
  <c r="N37" i="3"/>
  <c r="J5" i="4"/>
  <c r="I84" i="3"/>
  <c r="I18" i="4"/>
  <c r="I76" i="3"/>
  <c r="I10" i="4"/>
  <c r="G86" i="3"/>
  <c r="G20" i="4"/>
  <c r="G78" i="3"/>
  <c r="G12" i="4"/>
  <c r="F86" i="3"/>
  <c r="F20" i="4"/>
  <c r="F78" i="3"/>
  <c r="F12" i="4"/>
  <c r="I43" i="4"/>
  <c r="B43" i="4"/>
  <c r="D43" i="4" s="1"/>
  <c r="I87" i="3"/>
  <c r="I21" i="4"/>
  <c r="I79" i="3"/>
  <c r="I13" i="4"/>
  <c r="G89" i="3"/>
  <c r="G23" i="4"/>
  <c r="G81" i="3"/>
  <c r="G15" i="4"/>
  <c r="G73" i="3"/>
  <c r="G7" i="4"/>
  <c r="F85" i="3"/>
  <c r="F19" i="4"/>
  <c r="F77" i="3"/>
  <c r="F11" i="4"/>
  <c r="I86" i="3"/>
  <c r="I20" i="4"/>
  <c r="I78" i="3"/>
  <c r="I12" i="4"/>
  <c r="M37" i="3"/>
  <c r="H5" i="4"/>
  <c r="G84" i="3"/>
  <c r="G18" i="4"/>
  <c r="G76" i="3"/>
  <c r="G10" i="4"/>
  <c r="F88" i="3"/>
  <c r="F22" i="4"/>
  <c r="F80" i="3"/>
  <c r="F14" i="4"/>
  <c r="F72" i="3"/>
  <c r="F6" i="4"/>
  <c r="C36" i="4"/>
  <c r="D36" i="4" s="1"/>
  <c r="J36" i="4"/>
  <c r="M45" i="4"/>
  <c r="N45" i="4" s="1"/>
  <c r="J39" i="4"/>
  <c r="C39" i="4"/>
  <c r="D39" i="4" s="1"/>
  <c r="D40" i="4"/>
  <c r="D51" i="4"/>
  <c r="M47" i="4"/>
  <c r="N47" i="4" s="1"/>
  <c r="I89" i="3"/>
  <c r="I23" i="4"/>
  <c r="I81" i="3"/>
  <c r="I15" i="4"/>
  <c r="I73" i="3"/>
  <c r="I7" i="4"/>
  <c r="G87" i="3"/>
  <c r="G21" i="4"/>
  <c r="G79" i="3"/>
  <c r="G13" i="4"/>
  <c r="F87" i="3"/>
  <c r="F21" i="4"/>
  <c r="F79" i="3"/>
  <c r="F13" i="4"/>
  <c r="B49" i="4"/>
  <c r="D49" i="4" s="1"/>
  <c r="I49" i="4"/>
  <c r="M49" i="4" s="1"/>
  <c r="N49" i="4" s="1"/>
  <c r="D47" i="3"/>
  <c r="E15" i="4"/>
  <c r="C37" i="4"/>
  <c r="D37" i="4" s="1"/>
  <c r="J37" i="4"/>
  <c r="M37" i="4" s="1"/>
  <c r="N37" i="4" s="1"/>
  <c r="M52" i="4"/>
  <c r="N52" i="4" s="1"/>
  <c r="D48" i="4"/>
  <c r="J34" i="4"/>
  <c r="C34" i="4"/>
  <c r="D34" i="4" s="1"/>
  <c r="M51" i="4"/>
  <c r="N51" i="4" s="1"/>
  <c r="I88" i="3"/>
  <c r="I22" i="4"/>
  <c r="I80" i="3"/>
  <c r="I14" i="4"/>
  <c r="I72" i="3"/>
  <c r="I6" i="4"/>
  <c r="G82" i="3"/>
  <c r="G16" i="4"/>
  <c r="G74" i="3"/>
  <c r="G8" i="4"/>
  <c r="F82" i="3"/>
  <c r="F16" i="4"/>
  <c r="F74" i="3"/>
  <c r="F8" i="4"/>
  <c r="N36" i="3"/>
  <c r="J4" i="4"/>
  <c r="I83" i="3"/>
  <c r="I17" i="4"/>
  <c r="I75" i="3"/>
  <c r="I9" i="4"/>
  <c r="G85" i="3"/>
  <c r="G19" i="4"/>
  <c r="G77" i="3"/>
  <c r="G11" i="4"/>
  <c r="F89" i="3"/>
  <c r="F23" i="4"/>
  <c r="F81" i="3"/>
  <c r="F15" i="4"/>
  <c r="F73" i="3"/>
  <c r="F7" i="4"/>
  <c r="I82" i="3"/>
  <c r="I16" i="4"/>
  <c r="I74" i="3"/>
  <c r="I8" i="4"/>
  <c r="G88" i="3"/>
  <c r="G22" i="4"/>
  <c r="G80" i="3"/>
  <c r="G14" i="4"/>
  <c r="G72" i="3"/>
  <c r="G6" i="4"/>
  <c r="F84" i="3"/>
  <c r="F18" i="4"/>
  <c r="F76" i="3"/>
  <c r="F10" i="4"/>
  <c r="E50" i="4"/>
  <c r="F50" i="4"/>
  <c r="D52" i="4"/>
  <c r="R18" i="3"/>
  <c r="R29" i="3" s="1"/>
  <c r="R30" i="3" s="1"/>
  <c r="N18" i="3"/>
  <c r="Q18" i="3"/>
  <c r="C18" i="3"/>
  <c r="C29" i="3" s="1"/>
  <c r="C30" i="3" s="1"/>
  <c r="P18" i="3"/>
  <c r="P29" i="3" s="1"/>
  <c r="P30" i="3" s="1"/>
  <c r="S18" i="3"/>
  <c r="S29" i="3" s="1"/>
  <c r="S30" i="3" s="1"/>
  <c r="J18" i="3"/>
  <c r="J29" i="3" s="1"/>
  <c r="J30" i="3" s="1"/>
  <c r="E18" i="3"/>
  <c r="E29" i="3" s="1"/>
  <c r="E30" i="3" s="1"/>
  <c r="H18" i="3"/>
  <c r="H29" i="3" s="1"/>
  <c r="H30" i="3" s="1"/>
  <c r="O18" i="3"/>
  <c r="O29" i="3" s="1"/>
  <c r="O30" i="3" s="1"/>
  <c r="K36" i="3"/>
  <c r="B18" i="3"/>
  <c r="B29" i="3" s="1"/>
  <c r="B30" i="3" s="1"/>
  <c r="M18" i="3"/>
  <c r="U18" i="3"/>
  <c r="U29" i="3" s="1"/>
  <c r="U30" i="3" s="1"/>
  <c r="T18" i="3"/>
  <c r="T29" i="3" s="1"/>
  <c r="T30" i="3" s="1"/>
  <c r="K46" i="3"/>
  <c r="O46" i="3" s="1"/>
  <c r="S46" i="3" s="1"/>
  <c r="L18" i="3"/>
  <c r="L29" i="3" s="1"/>
  <c r="L30" i="3" s="1"/>
  <c r="K18" i="3"/>
  <c r="F18" i="3"/>
  <c r="F29" i="3" s="1"/>
  <c r="F30" i="3" s="1"/>
  <c r="I18" i="3"/>
  <c r="I29" i="3" s="1"/>
  <c r="I30" i="3" s="1"/>
  <c r="D18" i="3"/>
  <c r="G18" i="3"/>
  <c r="G29" i="3" s="1"/>
  <c r="G30" i="3" s="1"/>
  <c r="C26" i="2"/>
  <c r="C38" i="2" s="1"/>
  <c r="C39" i="2"/>
  <c r="E44" i="1"/>
  <c r="F44" i="1" s="1"/>
  <c r="O35" i="1"/>
  <c r="S35" i="1" s="1"/>
  <c r="E50" i="1"/>
  <c r="F50" i="1" s="1"/>
  <c r="E40" i="1"/>
  <c r="G40" i="1" s="1"/>
  <c r="E43" i="3"/>
  <c r="G43" i="3" s="1"/>
  <c r="E45" i="3"/>
  <c r="F45" i="3" s="1"/>
  <c r="O45" i="3"/>
  <c r="Q45" i="3" s="1"/>
  <c r="L25" i="3"/>
  <c r="O43" i="1"/>
  <c r="R43" i="1" s="1"/>
  <c r="O53" i="1"/>
  <c r="R53" i="1" s="1"/>
  <c r="E41" i="1"/>
  <c r="G41" i="1" s="1"/>
  <c r="E46" i="1"/>
  <c r="F46" i="1" s="1"/>
  <c r="O54" i="3"/>
  <c r="Q54" i="3" s="1"/>
  <c r="E49" i="3"/>
  <c r="G49" i="3" s="1"/>
  <c r="D29" i="3"/>
  <c r="D30" i="3" s="1"/>
  <c r="E53" i="1"/>
  <c r="G53" i="1" s="1"/>
  <c r="O44" i="3"/>
  <c r="S44" i="3" s="1"/>
  <c r="X44" i="3" s="1"/>
  <c r="O38" i="3"/>
  <c r="Q38" i="3" s="1"/>
  <c r="O49" i="3"/>
  <c r="S49" i="3" s="1"/>
  <c r="E46" i="3"/>
  <c r="E38" i="3"/>
  <c r="O41" i="3"/>
  <c r="E36" i="3"/>
  <c r="K87" i="3"/>
  <c r="K83" i="3"/>
  <c r="K75" i="3"/>
  <c r="E48" i="3"/>
  <c r="G44" i="3"/>
  <c r="I45" i="3" s="1"/>
  <c r="F44" i="3"/>
  <c r="I44" i="3" s="1"/>
  <c r="E51" i="3"/>
  <c r="K84" i="3"/>
  <c r="O40" i="3"/>
  <c r="K72" i="3"/>
  <c r="O53" i="3"/>
  <c r="O48" i="3"/>
  <c r="K78" i="3"/>
  <c r="G27" i="3"/>
  <c r="O55" i="3"/>
  <c r="O51" i="3"/>
  <c r="K81" i="3"/>
  <c r="K73" i="3"/>
  <c r="O42" i="3"/>
  <c r="K79" i="3"/>
  <c r="K86" i="3"/>
  <c r="K82" i="3"/>
  <c r="G40" i="3"/>
  <c r="F40" i="3"/>
  <c r="O39" i="3"/>
  <c r="E55" i="3"/>
  <c r="K85" i="3"/>
  <c r="O43" i="3"/>
  <c r="E50" i="3"/>
  <c r="K88" i="3"/>
  <c r="K76" i="3"/>
  <c r="G53" i="3"/>
  <c r="E41" i="3"/>
  <c r="K74" i="3"/>
  <c r="K89" i="3"/>
  <c r="K77" i="3"/>
  <c r="O50" i="3"/>
  <c r="G35" i="1"/>
  <c r="F35" i="1"/>
  <c r="O28" i="1"/>
  <c r="O29" i="1" s="1"/>
  <c r="G43" i="1"/>
  <c r="J28" i="1"/>
  <c r="J29" i="1" s="1"/>
  <c r="O51" i="1"/>
  <c r="K77" i="1"/>
  <c r="M77" i="1" s="1"/>
  <c r="O77" i="1" s="1"/>
  <c r="K88" i="1"/>
  <c r="M88" i="1" s="1"/>
  <c r="O88" i="1" s="1"/>
  <c r="O42" i="1"/>
  <c r="K87" i="1"/>
  <c r="M87" i="1" s="1"/>
  <c r="O87" i="1" s="1"/>
  <c r="K71" i="1"/>
  <c r="M71" i="1" s="1"/>
  <c r="O71" i="1" s="1"/>
  <c r="N28" i="1"/>
  <c r="N29" i="1" s="1"/>
  <c r="N18" i="1"/>
  <c r="Q28" i="1"/>
  <c r="Q29" i="1" s="1"/>
  <c r="K84" i="1"/>
  <c r="M84" i="1" s="1"/>
  <c r="O84" i="1" s="1"/>
  <c r="E38" i="1"/>
  <c r="K79" i="1"/>
  <c r="M79" i="1" s="1"/>
  <c r="O79" i="1" s="1"/>
  <c r="K86" i="1"/>
  <c r="Q86" i="1" s="1"/>
  <c r="E48" i="1"/>
  <c r="K78" i="1"/>
  <c r="Q78" i="1" s="1"/>
  <c r="O36" i="1"/>
  <c r="K81" i="1"/>
  <c r="Q81" i="1" s="1"/>
  <c r="O46" i="1"/>
  <c r="K76" i="1"/>
  <c r="M76" i="1" s="1"/>
  <c r="O76" i="1" s="1"/>
  <c r="O37" i="1"/>
  <c r="K72" i="1"/>
  <c r="M72" i="1" s="1"/>
  <c r="O72" i="1" s="1"/>
  <c r="O45" i="1"/>
  <c r="O52" i="1"/>
  <c r="K82" i="1"/>
  <c r="Q82" i="1" s="1"/>
  <c r="O40" i="1"/>
  <c r="E36" i="1"/>
  <c r="O39" i="1"/>
  <c r="G46" i="1"/>
  <c r="K83" i="1"/>
  <c r="M83" i="1" s="1"/>
  <c r="O83" i="1" s="1"/>
  <c r="E37" i="1"/>
  <c r="E45" i="1"/>
  <c r="K75" i="1"/>
  <c r="Q75" i="1" s="1"/>
  <c r="P28" i="1"/>
  <c r="P29" i="1" s="1"/>
  <c r="E52" i="1"/>
  <c r="O44" i="1"/>
  <c r="O47" i="1"/>
  <c r="E39" i="1"/>
  <c r="M28" i="1"/>
  <c r="M29" i="1" s="1"/>
  <c r="K80" i="1"/>
  <c r="M80" i="1" s="1"/>
  <c r="O80" i="1" s="1"/>
  <c r="O49" i="1"/>
  <c r="K85" i="1"/>
  <c r="Q85" i="1" s="1"/>
  <c r="O54" i="1"/>
  <c r="F51" i="1"/>
  <c r="F42" i="1"/>
  <c r="G42" i="1"/>
  <c r="S28" i="1"/>
  <c r="S29" i="1" s="1"/>
  <c r="O50" i="1"/>
  <c r="O38" i="1"/>
  <c r="G28" i="1"/>
  <c r="G29" i="1" s="1"/>
  <c r="G18" i="1"/>
  <c r="G26" i="1" s="1"/>
  <c r="O41" i="1"/>
  <c r="K28" i="1"/>
  <c r="K29" i="1" s="1"/>
  <c r="O48" i="1"/>
  <c r="G44" i="1"/>
  <c r="K74" i="1"/>
  <c r="M74" i="1" s="1"/>
  <c r="O74" i="1" s="1"/>
  <c r="E47" i="1"/>
  <c r="K73" i="1"/>
  <c r="Q73" i="1" s="1"/>
  <c r="E49" i="1"/>
  <c r="K46" i="7" l="1"/>
  <c r="D41" i="5"/>
  <c r="K37" i="7"/>
  <c r="M86" i="3"/>
  <c r="O86" i="3" s="1"/>
  <c r="I45" i="7"/>
  <c r="B45" i="7"/>
  <c r="D45" i="7" s="1"/>
  <c r="F45" i="7" s="1"/>
  <c r="C45" i="7"/>
  <c r="K49" i="7"/>
  <c r="K11" i="19"/>
  <c r="K11" i="20"/>
  <c r="M19" i="19"/>
  <c r="M19" i="20"/>
  <c r="D17" i="19"/>
  <c r="L8" i="19"/>
  <c r="L8" i="20"/>
  <c r="N16" i="19"/>
  <c r="N16" i="20"/>
  <c r="K37" i="9"/>
  <c r="D16" i="19"/>
  <c r="L5" i="19"/>
  <c r="L5" i="20"/>
  <c r="N13" i="19"/>
  <c r="N13" i="20"/>
  <c r="L46" i="9"/>
  <c r="D18" i="19"/>
  <c r="L7" i="19"/>
  <c r="L7" i="20"/>
  <c r="N15" i="19"/>
  <c r="N15" i="20"/>
  <c r="M4" i="19"/>
  <c r="M4" i="20"/>
  <c r="D20" i="19"/>
  <c r="L9" i="19"/>
  <c r="L9" i="20"/>
  <c r="N17" i="19"/>
  <c r="N17" i="20"/>
  <c r="F5" i="19"/>
  <c r="M6" i="19"/>
  <c r="M5" i="19"/>
  <c r="M5" i="20"/>
  <c r="K14" i="19"/>
  <c r="K14" i="20"/>
  <c r="P14" i="20" s="1"/>
  <c r="K12" i="19"/>
  <c r="K12" i="20"/>
  <c r="M20" i="19"/>
  <c r="M20" i="20"/>
  <c r="M17" i="19"/>
  <c r="M17" i="20"/>
  <c r="L6" i="19"/>
  <c r="L6" i="20"/>
  <c r="D14" i="19"/>
  <c r="N11" i="19"/>
  <c r="N11" i="20"/>
  <c r="L20" i="19"/>
  <c r="L20" i="20"/>
  <c r="L17" i="19"/>
  <c r="L17" i="20"/>
  <c r="K6" i="19"/>
  <c r="K6" i="20"/>
  <c r="P6" i="20" s="1"/>
  <c r="M14" i="19"/>
  <c r="M14" i="20"/>
  <c r="M16" i="19"/>
  <c r="M16" i="20"/>
  <c r="L19" i="19"/>
  <c r="L19" i="20"/>
  <c r="K8" i="19"/>
  <c r="K8" i="20"/>
  <c r="N8" i="19"/>
  <c r="N8" i="20"/>
  <c r="K10" i="19"/>
  <c r="K10" i="20"/>
  <c r="M18" i="19"/>
  <c r="M18" i="20"/>
  <c r="D12" i="19"/>
  <c r="N9" i="19"/>
  <c r="N9" i="20"/>
  <c r="L18" i="19"/>
  <c r="L18" i="20"/>
  <c r="K7" i="19"/>
  <c r="K7" i="20"/>
  <c r="M15" i="19"/>
  <c r="M15" i="20"/>
  <c r="D11" i="19"/>
  <c r="L4" i="19"/>
  <c r="N12" i="19"/>
  <c r="N12" i="20"/>
  <c r="K49" i="9"/>
  <c r="M10" i="19"/>
  <c r="M10" i="20"/>
  <c r="L15" i="19"/>
  <c r="L15" i="20"/>
  <c r="K4" i="19"/>
  <c r="M12" i="19"/>
  <c r="M12" i="20"/>
  <c r="M9" i="19"/>
  <c r="M9" i="20"/>
  <c r="D5" i="19"/>
  <c r="K18" i="19"/>
  <c r="K18" i="20"/>
  <c r="N6" i="19"/>
  <c r="M11" i="19"/>
  <c r="M11" i="20"/>
  <c r="D7" i="19"/>
  <c r="K20" i="19"/>
  <c r="K20" i="20"/>
  <c r="N20" i="19"/>
  <c r="N20" i="20"/>
  <c r="K5" i="19"/>
  <c r="K5" i="20"/>
  <c r="M13" i="19"/>
  <c r="M13" i="20"/>
  <c r="D9" i="19"/>
  <c r="N10" i="19"/>
  <c r="N10" i="20"/>
  <c r="K46" i="9"/>
  <c r="D10" i="19"/>
  <c r="K19" i="19"/>
  <c r="K19" i="20"/>
  <c r="N7" i="19"/>
  <c r="N7" i="20"/>
  <c r="L16" i="19"/>
  <c r="L16" i="20"/>
  <c r="K9" i="19"/>
  <c r="K9" i="20"/>
  <c r="D13" i="19"/>
  <c r="N14" i="19"/>
  <c r="N14" i="20"/>
  <c r="F4" i="19"/>
  <c r="M7" i="19"/>
  <c r="M7" i="20"/>
  <c r="K16" i="19"/>
  <c r="K16" i="20"/>
  <c r="P16" i="20" s="1"/>
  <c r="N4" i="19"/>
  <c r="N4" i="20"/>
  <c r="D4" i="19"/>
  <c r="K13" i="19"/>
  <c r="K13" i="20"/>
  <c r="L10" i="19"/>
  <c r="L10" i="20"/>
  <c r="N18" i="19"/>
  <c r="N18" i="20"/>
  <c r="D6" i="19"/>
  <c r="K15" i="19"/>
  <c r="K15" i="20"/>
  <c r="P15" i="20" s="1"/>
  <c r="S15" i="20" s="1"/>
  <c r="L12" i="19"/>
  <c r="L12" i="20"/>
  <c r="D8" i="19"/>
  <c r="K17" i="19"/>
  <c r="K17" i="20"/>
  <c r="N5" i="19"/>
  <c r="N5" i="20"/>
  <c r="L14" i="19"/>
  <c r="L14" i="20"/>
  <c r="L11" i="19"/>
  <c r="L11" i="20"/>
  <c r="N19" i="19"/>
  <c r="N19" i="20"/>
  <c r="M8" i="19"/>
  <c r="M8" i="20"/>
  <c r="L13" i="19"/>
  <c r="L13" i="20"/>
  <c r="E11" i="17"/>
  <c r="C40" i="14"/>
  <c r="J40" i="14"/>
  <c r="K45" i="9"/>
  <c r="H16" i="14"/>
  <c r="C8" i="17"/>
  <c r="I37" i="14"/>
  <c r="B37" i="14"/>
  <c r="C10" i="14"/>
  <c r="I45" i="14"/>
  <c r="C16" i="17"/>
  <c r="B45" i="14"/>
  <c r="K43" i="9"/>
  <c r="H14" i="14"/>
  <c r="C18" i="17"/>
  <c r="B47" i="14"/>
  <c r="I47" i="14"/>
  <c r="B34" i="14"/>
  <c r="C5" i="17"/>
  <c r="I34" i="14"/>
  <c r="C35" i="14"/>
  <c r="E6" i="17"/>
  <c r="J35" i="14"/>
  <c r="K46" i="14"/>
  <c r="H17" i="17"/>
  <c r="J19" i="17"/>
  <c r="L48" i="14"/>
  <c r="J43" i="14"/>
  <c r="E14" i="17"/>
  <c r="C43" i="14"/>
  <c r="I48" i="14"/>
  <c r="C19" i="17"/>
  <c r="B48" i="14"/>
  <c r="E9" i="17"/>
  <c r="J38" i="14"/>
  <c r="C38" i="14"/>
  <c r="D46" i="5"/>
  <c r="E46" i="5" s="1"/>
  <c r="K47" i="9"/>
  <c r="H18" i="14"/>
  <c r="E16" i="17"/>
  <c r="J45" i="14"/>
  <c r="C45" i="14"/>
  <c r="H9" i="9"/>
  <c r="H9" i="14" s="1"/>
  <c r="K35" i="9"/>
  <c r="H20" i="17"/>
  <c r="K49" i="14"/>
  <c r="C4" i="17"/>
  <c r="C4" i="18" s="1"/>
  <c r="C4" i="19" s="1"/>
  <c r="B33" i="19" s="1"/>
  <c r="B33" i="14"/>
  <c r="C47" i="14"/>
  <c r="E18" i="17"/>
  <c r="J47" i="14"/>
  <c r="C11" i="14"/>
  <c r="H8" i="17"/>
  <c r="K37" i="14"/>
  <c r="E13" i="17"/>
  <c r="C42" i="14"/>
  <c r="J42" i="14"/>
  <c r="J17" i="17"/>
  <c r="L46" i="14"/>
  <c r="C9" i="14"/>
  <c r="C13" i="17"/>
  <c r="I42" i="14"/>
  <c r="B42" i="14"/>
  <c r="K36" i="9"/>
  <c r="H7" i="14"/>
  <c r="C17" i="17"/>
  <c r="B46" i="14"/>
  <c r="I46" i="14"/>
  <c r="H6" i="17"/>
  <c r="K35" i="14"/>
  <c r="L49" i="9"/>
  <c r="J20" i="14"/>
  <c r="K48" i="9"/>
  <c r="H19" i="14"/>
  <c r="M36" i="4"/>
  <c r="N36" i="4" s="1"/>
  <c r="B43" i="5"/>
  <c r="D43" i="5" s="1"/>
  <c r="D40" i="5"/>
  <c r="J39" i="5"/>
  <c r="D49" i="5"/>
  <c r="F49" i="5" s="1"/>
  <c r="I52" i="7"/>
  <c r="B34" i="7"/>
  <c r="K48" i="7"/>
  <c r="K45" i="7"/>
  <c r="I51" i="7"/>
  <c r="C22" i="9"/>
  <c r="B51" i="9" s="1"/>
  <c r="L40" i="7"/>
  <c r="J11" i="9"/>
  <c r="C27" i="7"/>
  <c r="D19" i="9"/>
  <c r="D19" i="14" s="1"/>
  <c r="D19" i="17" s="1"/>
  <c r="D19" i="18" s="1"/>
  <c r="L51" i="7"/>
  <c r="M51" i="7" s="1"/>
  <c r="Q51" i="7" s="1"/>
  <c r="J22" i="9"/>
  <c r="L51" i="9" s="1"/>
  <c r="I36" i="7"/>
  <c r="C7" i="9"/>
  <c r="C7" i="14" s="1"/>
  <c r="L52" i="7"/>
  <c r="M52" i="7" s="1"/>
  <c r="J23" i="9"/>
  <c r="L52" i="9" s="1"/>
  <c r="B39" i="7"/>
  <c r="G50" i="1"/>
  <c r="F39" i="3"/>
  <c r="F41" i="1"/>
  <c r="O37" i="3"/>
  <c r="R37" i="3" s="1"/>
  <c r="M43" i="4"/>
  <c r="N43" i="4" s="1"/>
  <c r="E38" i="5"/>
  <c r="I43" i="5"/>
  <c r="C39" i="5"/>
  <c r="D39" i="5" s="1"/>
  <c r="J42" i="7"/>
  <c r="C35" i="7"/>
  <c r="I34" i="7"/>
  <c r="K50" i="7"/>
  <c r="I40" i="7"/>
  <c r="K42" i="7"/>
  <c r="H13" i="9"/>
  <c r="K41" i="7"/>
  <c r="H12" i="9"/>
  <c r="L47" i="7"/>
  <c r="J18" i="9"/>
  <c r="C48" i="7"/>
  <c r="D48" i="7" s="1"/>
  <c r="E19" i="9"/>
  <c r="E19" i="14" s="1"/>
  <c r="L50" i="7"/>
  <c r="J21" i="9"/>
  <c r="L50" i="9" s="1"/>
  <c r="G37" i="3"/>
  <c r="I47" i="7"/>
  <c r="M47" i="7" s="1"/>
  <c r="O47" i="7" s="1"/>
  <c r="C42" i="7"/>
  <c r="J35" i="7"/>
  <c r="K47" i="7"/>
  <c r="J49" i="7"/>
  <c r="E20" i="9"/>
  <c r="E20" i="14" s="1"/>
  <c r="C46" i="7"/>
  <c r="D46" i="7" s="1"/>
  <c r="E17" i="9"/>
  <c r="I41" i="7"/>
  <c r="C12" i="9"/>
  <c r="C12" i="14" s="1"/>
  <c r="I45" i="9"/>
  <c r="B45" i="9"/>
  <c r="J14" i="7"/>
  <c r="J14" i="9" s="1"/>
  <c r="J46" i="7"/>
  <c r="M46" i="7" s="1"/>
  <c r="C49" i="7"/>
  <c r="E10" i="7"/>
  <c r="E10" i="9" s="1"/>
  <c r="E10" i="14" s="1"/>
  <c r="D15" i="7"/>
  <c r="D15" i="9" s="1"/>
  <c r="D15" i="14" s="1"/>
  <c r="D15" i="17" s="1"/>
  <c r="D15" i="18" s="1"/>
  <c r="B40" i="7"/>
  <c r="D40" i="7" s="1"/>
  <c r="F40" i="7" s="1"/>
  <c r="J47" i="9"/>
  <c r="C47" i="9"/>
  <c r="B37" i="9"/>
  <c r="I37" i="9"/>
  <c r="J42" i="9"/>
  <c r="C42" i="9"/>
  <c r="J35" i="9"/>
  <c r="C35" i="9"/>
  <c r="C15" i="7"/>
  <c r="C15" i="9" s="1"/>
  <c r="C15" i="14" s="1"/>
  <c r="B48" i="9"/>
  <c r="I48" i="9"/>
  <c r="J9" i="7"/>
  <c r="J9" i="9" s="1"/>
  <c r="H10" i="7"/>
  <c r="H10" i="9" s="1"/>
  <c r="H10" i="14" s="1"/>
  <c r="J16" i="7"/>
  <c r="J16" i="9" s="1"/>
  <c r="J16" i="14" s="1"/>
  <c r="E7" i="7"/>
  <c r="E7" i="9" s="1"/>
  <c r="E7" i="14" s="1"/>
  <c r="C20" i="7"/>
  <c r="C20" i="9" s="1"/>
  <c r="C20" i="14" s="1"/>
  <c r="C6" i="7"/>
  <c r="J52" i="9"/>
  <c r="C52" i="9"/>
  <c r="J43" i="9"/>
  <c r="C43" i="9"/>
  <c r="C45" i="9"/>
  <c r="J45" i="9"/>
  <c r="J50" i="9"/>
  <c r="C50" i="9"/>
  <c r="F40" i="1"/>
  <c r="F54" i="3"/>
  <c r="J6" i="7"/>
  <c r="I39" i="7"/>
  <c r="J48" i="7"/>
  <c r="B36" i="7"/>
  <c r="E4" i="7"/>
  <c r="E4" i="9" s="1"/>
  <c r="B34" i="9"/>
  <c r="I34" i="9"/>
  <c r="J40" i="9"/>
  <c r="C40" i="9"/>
  <c r="B52" i="9"/>
  <c r="I52" i="9"/>
  <c r="I38" i="9"/>
  <c r="B38" i="9"/>
  <c r="J51" i="9"/>
  <c r="C51" i="9"/>
  <c r="B42" i="9"/>
  <c r="I42" i="9"/>
  <c r="H11" i="7"/>
  <c r="E5" i="7"/>
  <c r="M51" i="5"/>
  <c r="J13" i="7"/>
  <c r="J13" i="9" s="1"/>
  <c r="J13" i="14" s="1"/>
  <c r="J7" i="7"/>
  <c r="J7" i="9" s="1"/>
  <c r="J7" i="14" s="1"/>
  <c r="J8" i="7"/>
  <c r="J8" i="9" s="1"/>
  <c r="J8" i="14" s="1"/>
  <c r="H15" i="7"/>
  <c r="H15" i="9" s="1"/>
  <c r="H15" i="14" s="1"/>
  <c r="E8" i="7"/>
  <c r="E8" i="9" s="1"/>
  <c r="E8" i="14" s="1"/>
  <c r="I50" i="9"/>
  <c r="B50" i="9"/>
  <c r="I46" i="9"/>
  <c r="B46" i="9"/>
  <c r="I47" i="9"/>
  <c r="B47" i="9"/>
  <c r="J12" i="7"/>
  <c r="J12" i="9" s="1"/>
  <c r="J12" i="14" s="1"/>
  <c r="L41" i="9"/>
  <c r="J38" i="9"/>
  <c r="C38" i="9"/>
  <c r="J10" i="7"/>
  <c r="C14" i="7"/>
  <c r="C14" i="9" s="1"/>
  <c r="C14" i="14" s="1"/>
  <c r="E12" i="7"/>
  <c r="E12" i="9" s="1"/>
  <c r="E12" i="14" s="1"/>
  <c r="I51" i="9"/>
  <c r="B40" i="9"/>
  <c r="I40" i="9"/>
  <c r="I33" i="9"/>
  <c r="B33" i="9"/>
  <c r="B36" i="9"/>
  <c r="I36" i="9"/>
  <c r="I39" i="9"/>
  <c r="B39" i="9"/>
  <c r="J46" i="9"/>
  <c r="B41" i="9"/>
  <c r="I41" i="9"/>
  <c r="J48" i="9"/>
  <c r="C48" i="9"/>
  <c r="D47" i="7"/>
  <c r="F47" i="7" s="1"/>
  <c r="B35" i="7"/>
  <c r="D35" i="7" s="1"/>
  <c r="E52" i="5"/>
  <c r="F52" i="5"/>
  <c r="F54" i="1"/>
  <c r="O19" i="3"/>
  <c r="J34" i="5"/>
  <c r="I49" i="5"/>
  <c r="M49" i="5" s="1"/>
  <c r="D68" i="5"/>
  <c r="E38" i="4"/>
  <c r="C37" i="5"/>
  <c r="D37" i="5" s="1"/>
  <c r="C76" i="5"/>
  <c r="K76" i="5" s="1"/>
  <c r="K44" i="7"/>
  <c r="O47" i="3"/>
  <c r="S47" i="3" s="1"/>
  <c r="X47" i="3" s="1"/>
  <c r="Q85" i="3"/>
  <c r="B44" i="5"/>
  <c r="Q83" i="3"/>
  <c r="J41" i="5"/>
  <c r="M46" i="5"/>
  <c r="N46" i="5" s="1"/>
  <c r="M52" i="5"/>
  <c r="P52" i="5" s="1"/>
  <c r="L42" i="7"/>
  <c r="N19" i="3"/>
  <c r="S53" i="1"/>
  <c r="P43" i="1"/>
  <c r="N29" i="3"/>
  <c r="N30" i="3" s="1"/>
  <c r="O36" i="3"/>
  <c r="R36" i="3" s="1"/>
  <c r="Q19" i="3"/>
  <c r="M47" i="5"/>
  <c r="N47" i="5" s="1"/>
  <c r="E47" i="3"/>
  <c r="F47" i="3" s="1"/>
  <c r="G42" i="3"/>
  <c r="Q80" i="3"/>
  <c r="E42" i="4"/>
  <c r="P20" i="4"/>
  <c r="S20" i="4" s="1"/>
  <c r="F47" i="4"/>
  <c r="M41" i="4"/>
  <c r="N41" i="4" s="1"/>
  <c r="C36" i="5"/>
  <c r="D36" i="5" s="1"/>
  <c r="E36" i="5" s="1"/>
  <c r="L41" i="7"/>
  <c r="P35" i="1"/>
  <c r="Q78" i="3"/>
  <c r="J36" i="5"/>
  <c r="Q89" i="3"/>
  <c r="Q76" i="3"/>
  <c r="M87" i="3"/>
  <c r="O87" i="3" s="1"/>
  <c r="R19" i="3"/>
  <c r="M50" i="5"/>
  <c r="N50" i="5" s="1"/>
  <c r="D48" i="5"/>
  <c r="F48" i="5" s="1"/>
  <c r="E55" i="5" s="1"/>
  <c r="J33" i="5"/>
  <c r="C71" i="5"/>
  <c r="K71" i="5" s="1"/>
  <c r="L45" i="7"/>
  <c r="M45" i="7" s="1"/>
  <c r="Q74" i="3"/>
  <c r="M88" i="3"/>
  <c r="O88" i="3" s="1"/>
  <c r="C33" i="5"/>
  <c r="M39" i="4"/>
  <c r="N39" i="4" s="1"/>
  <c r="C34" i="5"/>
  <c r="D34" i="5" s="1"/>
  <c r="F34" i="5" s="1"/>
  <c r="J37" i="5"/>
  <c r="L37" i="7"/>
  <c r="Q77" i="3"/>
  <c r="Q79" i="3"/>
  <c r="M81" i="3"/>
  <c r="O81" i="3" s="1"/>
  <c r="P19" i="3"/>
  <c r="I44" i="5"/>
  <c r="D51" i="7"/>
  <c r="E51" i="7" s="1"/>
  <c r="F10" i="5"/>
  <c r="G6" i="5"/>
  <c r="G14" i="5"/>
  <c r="G22" i="5"/>
  <c r="I8" i="5"/>
  <c r="I16" i="5"/>
  <c r="F15" i="5"/>
  <c r="G11" i="5"/>
  <c r="G19" i="5"/>
  <c r="I9" i="5"/>
  <c r="I17" i="5"/>
  <c r="F8" i="5"/>
  <c r="F16" i="5"/>
  <c r="G8" i="5"/>
  <c r="G16" i="5"/>
  <c r="I6" i="5"/>
  <c r="I14" i="5"/>
  <c r="I22" i="5"/>
  <c r="E15" i="5"/>
  <c r="D50" i="7"/>
  <c r="D52" i="7"/>
  <c r="J39" i="7"/>
  <c r="C39" i="7"/>
  <c r="C36" i="7"/>
  <c r="J36" i="7"/>
  <c r="J33" i="7"/>
  <c r="C33" i="7"/>
  <c r="J37" i="7"/>
  <c r="C37" i="7"/>
  <c r="D37" i="7" s="1"/>
  <c r="J41" i="7"/>
  <c r="C41" i="7"/>
  <c r="D41" i="7" s="1"/>
  <c r="I44" i="7"/>
  <c r="B44" i="7"/>
  <c r="I33" i="7"/>
  <c r="B33" i="7"/>
  <c r="B49" i="7"/>
  <c r="F13" i="5"/>
  <c r="G13" i="5"/>
  <c r="G21" i="5"/>
  <c r="I7" i="5"/>
  <c r="I15" i="5"/>
  <c r="I23" i="5"/>
  <c r="F6" i="5"/>
  <c r="F14" i="5"/>
  <c r="F22" i="5"/>
  <c r="G10" i="5"/>
  <c r="G18" i="5"/>
  <c r="H5" i="5"/>
  <c r="I12" i="5"/>
  <c r="I20" i="5"/>
  <c r="F11" i="5"/>
  <c r="F19" i="5"/>
  <c r="G7" i="5"/>
  <c r="G15" i="5"/>
  <c r="G23" i="5"/>
  <c r="I13" i="5"/>
  <c r="I21" i="5"/>
  <c r="F12" i="5"/>
  <c r="F20" i="5"/>
  <c r="G12" i="5"/>
  <c r="G20" i="5"/>
  <c r="I10" i="5"/>
  <c r="I18" i="5"/>
  <c r="F9" i="5"/>
  <c r="F17" i="5"/>
  <c r="F73" i="5" s="1"/>
  <c r="G9" i="5"/>
  <c r="G17" i="5"/>
  <c r="I11" i="5"/>
  <c r="I19" i="5"/>
  <c r="Q46" i="5"/>
  <c r="N51" i="5"/>
  <c r="Q51" i="5"/>
  <c r="P51" i="5"/>
  <c r="O51" i="5"/>
  <c r="D38" i="7"/>
  <c r="M50" i="7"/>
  <c r="B43" i="7"/>
  <c r="D43" i="7" s="1"/>
  <c r="I43" i="7"/>
  <c r="D42" i="7"/>
  <c r="M29" i="3"/>
  <c r="M30" i="3" s="1"/>
  <c r="Q72" i="3"/>
  <c r="Q84" i="3"/>
  <c r="P18" i="4"/>
  <c r="S18" i="4" s="1"/>
  <c r="F18" i="5"/>
  <c r="P7" i="4"/>
  <c r="S7" i="4" s="1"/>
  <c r="F7" i="5"/>
  <c r="P23" i="4"/>
  <c r="S23" i="4" s="1"/>
  <c r="F23" i="5"/>
  <c r="L33" i="4"/>
  <c r="J4" i="5"/>
  <c r="L44" i="4"/>
  <c r="J15" i="5"/>
  <c r="K33" i="4"/>
  <c r="H4" i="5"/>
  <c r="F39" i="5"/>
  <c r="E39" i="5"/>
  <c r="F45" i="5"/>
  <c r="E45" i="5"/>
  <c r="F47" i="5"/>
  <c r="E47" i="5"/>
  <c r="F51" i="5"/>
  <c r="E51" i="5"/>
  <c r="F43" i="5"/>
  <c r="E43" i="5"/>
  <c r="K70" i="5"/>
  <c r="K75" i="5"/>
  <c r="H67" i="5"/>
  <c r="K40" i="5"/>
  <c r="M40" i="5" s="1"/>
  <c r="J65" i="5"/>
  <c r="L38" i="5"/>
  <c r="M38" i="5" s="1"/>
  <c r="J69" i="5"/>
  <c r="L42" i="5"/>
  <c r="M42" i="5" s="1"/>
  <c r="J63" i="5"/>
  <c r="L36" i="5"/>
  <c r="P21" i="4"/>
  <c r="S21" i="4" s="1"/>
  <c r="F21" i="5"/>
  <c r="L34" i="4"/>
  <c r="J5" i="5"/>
  <c r="E42" i="5"/>
  <c r="F42" i="5"/>
  <c r="F35" i="5"/>
  <c r="E35" i="5"/>
  <c r="E37" i="5"/>
  <c r="F37" i="5"/>
  <c r="F41" i="5"/>
  <c r="E41" i="5"/>
  <c r="E50" i="5"/>
  <c r="F50" i="5"/>
  <c r="E40" i="5"/>
  <c r="F40" i="5"/>
  <c r="K67" i="5"/>
  <c r="M48" i="5"/>
  <c r="J62" i="5"/>
  <c r="L35" i="5"/>
  <c r="M35" i="5" s="1"/>
  <c r="J66" i="5"/>
  <c r="L39" i="5"/>
  <c r="J70" i="5"/>
  <c r="L43" i="5"/>
  <c r="H66" i="5"/>
  <c r="K39" i="5"/>
  <c r="J64" i="5"/>
  <c r="L37" i="5"/>
  <c r="M37" i="5" s="1"/>
  <c r="J68" i="5"/>
  <c r="L41" i="5"/>
  <c r="J72" i="5"/>
  <c r="L45" i="5"/>
  <c r="M45" i="5" s="1"/>
  <c r="H71" i="5"/>
  <c r="K44" i="5"/>
  <c r="P14" i="4"/>
  <c r="S14" i="4" s="1"/>
  <c r="P11" i="4"/>
  <c r="S11" i="4" s="1"/>
  <c r="P12" i="4"/>
  <c r="S12" i="4" s="1"/>
  <c r="P8" i="4"/>
  <c r="S8" i="4" s="1"/>
  <c r="F37" i="4"/>
  <c r="E37" i="4"/>
  <c r="E34" i="4"/>
  <c r="F34" i="4"/>
  <c r="E36" i="4"/>
  <c r="F36" i="4"/>
  <c r="C44" i="4"/>
  <c r="D44" i="4" s="1"/>
  <c r="J44" i="4"/>
  <c r="M44" i="4" s="1"/>
  <c r="N44" i="4" s="1"/>
  <c r="E49" i="4"/>
  <c r="F49" i="4"/>
  <c r="F51" i="4"/>
  <c r="E51" i="4"/>
  <c r="P6" i="4"/>
  <c r="S6" i="4" s="1"/>
  <c r="P22" i="4"/>
  <c r="S22" i="4" s="1"/>
  <c r="P15" i="4"/>
  <c r="S15" i="4" s="1"/>
  <c r="P9" i="4"/>
  <c r="S9" i="4" s="1"/>
  <c r="Q82" i="3"/>
  <c r="Q73" i="3"/>
  <c r="Q75" i="3"/>
  <c r="P10" i="4"/>
  <c r="S10" i="4" s="1"/>
  <c r="P16" i="4"/>
  <c r="S16" i="4" s="1"/>
  <c r="F35" i="4"/>
  <c r="E35" i="4"/>
  <c r="E48" i="4"/>
  <c r="E54" i="4" s="1"/>
  <c r="F48" i="4"/>
  <c r="E55" i="4" s="1"/>
  <c r="P13" i="4"/>
  <c r="F40" i="4"/>
  <c r="E40" i="4"/>
  <c r="D33" i="4"/>
  <c r="E39" i="4"/>
  <c r="F39" i="4"/>
  <c r="K34" i="4"/>
  <c r="M34" i="4" s="1"/>
  <c r="N34" i="4" s="1"/>
  <c r="P5" i="4"/>
  <c r="P19" i="4"/>
  <c r="S19" i="4" s="1"/>
  <c r="F43" i="4"/>
  <c r="E43" i="4"/>
  <c r="E46" i="4"/>
  <c r="F46" i="4"/>
  <c r="E45" i="4"/>
  <c r="F45" i="4"/>
  <c r="P4" i="4"/>
  <c r="P17" i="4"/>
  <c r="S17" i="4" s="1"/>
  <c r="E52" i="4"/>
  <c r="F52" i="4"/>
  <c r="F41" i="4"/>
  <c r="E41" i="4"/>
  <c r="Q44" i="3"/>
  <c r="V44" i="3" s="1"/>
  <c r="Q36" i="3"/>
  <c r="S37" i="3"/>
  <c r="Q49" i="3"/>
  <c r="P37" i="3"/>
  <c r="Q37" i="3"/>
  <c r="P49" i="3"/>
  <c r="F49" i="3"/>
  <c r="S45" i="3"/>
  <c r="S43" i="1"/>
  <c r="Q43" i="1"/>
  <c r="F43" i="3"/>
  <c r="P53" i="1"/>
  <c r="F53" i="1"/>
  <c r="Q35" i="1"/>
  <c r="P45" i="3"/>
  <c r="Q53" i="1"/>
  <c r="R35" i="1"/>
  <c r="S36" i="3"/>
  <c r="R45" i="3"/>
  <c r="R49" i="3"/>
  <c r="Q29" i="3"/>
  <c r="Q30" i="3" s="1"/>
  <c r="S54" i="3"/>
  <c r="P54" i="3"/>
  <c r="Q74" i="1"/>
  <c r="G45" i="3"/>
  <c r="P44" i="3"/>
  <c r="R54" i="3"/>
  <c r="Q72" i="1"/>
  <c r="V46" i="3"/>
  <c r="W46" i="3"/>
  <c r="Q87" i="1"/>
  <c r="M86" i="1"/>
  <c r="O86" i="1" s="1"/>
  <c r="Q88" i="1"/>
  <c r="M78" i="1"/>
  <c r="O78" i="1" s="1"/>
  <c r="R44" i="3"/>
  <c r="W44" i="3" s="1"/>
  <c r="K29" i="3"/>
  <c r="K30" i="3" s="1"/>
  <c r="R38" i="3"/>
  <c r="M73" i="3"/>
  <c r="O73" i="3" s="1"/>
  <c r="R46" i="3"/>
  <c r="S38" i="3"/>
  <c r="M76" i="3"/>
  <c r="O76" i="3" s="1"/>
  <c r="Q86" i="3"/>
  <c r="M72" i="3"/>
  <c r="O72" i="3" s="1"/>
  <c r="Q87" i="3"/>
  <c r="M82" i="3"/>
  <c r="O82" i="3" s="1"/>
  <c r="P38" i="3"/>
  <c r="P46" i="3"/>
  <c r="Q88" i="3"/>
  <c r="Q81" i="3"/>
  <c r="M78" i="3"/>
  <c r="O78" i="3" s="1"/>
  <c r="M80" i="3"/>
  <c r="O80" i="3" s="1"/>
  <c r="M84" i="3"/>
  <c r="O84" i="3" s="1"/>
  <c r="M83" i="3"/>
  <c r="O83" i="3" s="1"/>
  <c r="Q46" i="3"/>
  <c r="M77" i="3"/>
  <c r="O77" i="3" s="1"/>
  <c r="M89" i="3"/>
  <c r="O89" i="3" s="1"/>
  <c r="M74" i="3"/>
  <c r="O74" i="3" s="1"/>
  <c r="M79" i="3"/>
  <c r="O79" i="3" s="1"/>
  <c r="R50" i="3"/>
  <c r="W50" i="3" s="1"/>
  <c r="Q50" i="3"/>
  <c r="V50" i="3" s="1"/>
  <c r="S50" i="3"/>
  <c r="X50" i="3" s="1"/>
  <c r="P50" i="3"/>
  <c r="G41" i="3"/>
  <c r="F41" i="3"/>
  <c r="R55" i="3"/>
  <c r="Q55" i="3"/>
  <c r="P55" i="3"/>
  <c r="S55" i="3"/>
  <c r="G52" i="3"/>
  <c r="F52" i="3"/>
  <c r="G38" i="3"/>
  <c r="F38" i="3"/>
  <c r="M73" i="1"/>
  <c r="O73" i="1" s="1"/>
  <c r="M75" i="1"/>
  <c r="O75" i="1" s="1"/>
  <c r="M82" i="1"/>
  <c r="O82" i="1" s="1"/>
  <c r="F50" i="3"/>
  <c r="G50" i="3"/>
  <c r="M85" i="3"/>
  <c r="O85" i="3" s="1"/>
  <c r="M75" i="3"/>
  <c r="O75" i="3" s="1"/>
  <c r="G46" i="3"/>
  <c r="F46" i="3"/>
  <c r="Q83" i="1"/>
  <c r="S43" i="3"/>
  <c r="R43" i="3"/>
  <c r="Q43" i="3"/>
  <c r="P43" i="3"/>
  <c r="G55" i="3"/>
  <c r="F55" i="3"/>
  <c r="S48" i="3"/>
  <c r="Q48" i="3"/>
  <c r="P48" i="3"/>
  <c r="R48" i="3"/>
  <c r="S53" i="3"/>
  <c r="R53" i="3"/>
  <c r="Q53" i="3"/>
  <c r="P53" i="3"/>
  <c r="G51" i="3"/>
  <c r="F51" i="3"/>
  <c r="F36" i="3"/>
  <c r="G36" i="3"/>
  <c r="Q80" i="1"/>
  <c r="Q76" i="1"/>
  <c r="Q39" i="3"/>
  <c r="P39" i="3"/>
  <c r="R39" i="3"/>
  <c r="S39" i="3"/>
  <c r="P42" i="3"/>
  <c r="S42" i="3"/>
  <c r="R42" i="3"/>
  <c r="Q42" i="3"/>
  <c r="S51" i="3"/>
  <c r="R51" i="3"/>
  <c r="Q51" i="3"/>
  <c r="P51" i="3"/>
  <c r="S52" i="3"/>
  <c r="R52" i="3"/>
  <c r="P52" i="3"/>
  <c r="Q52" i="3"/>
  <c r="Q40" i="3"/>
  <c r="P40" i="3"/>
  <c r="S40" i="3"/>
  <c r="R40" i="3"/>
  <c r="G48" i="3"/>
  <c r="F48" i="3"/>
  <c r="Q41" i="3"/>
  <c r="P41" i="3"/>
  <c r="S41" i="3"/>
  <c r="R41" i="3"/>
  <c r="R48" i="1"/>
  <c r="Q48" i="1"/>
  <c r="P48" i="1"/>
  <c r="S48" i="1"/>
  <c r="G49" i="1"/>
  <c r="F49" i="1"/>
  <c r="G47" i="1"/>
  <c r="F47" i="1"/>
  <c r="R38" i="1"/>
  <c r="Q38" i="1"/>
  <c r="P38" i="1"/>
  <c r="S38" i="1"/>
  <c r="M85" i="1"/>
  <c r="O85" i="1" s="1"/>
  <c r="R44" i="1"/>
  <c r="Q44" i="1"/>
  <c r="P44" i="1"/>
  <c r="S44" i="1"/>
  <c r="R39" i="1"/>
  <c r="Q39" i="1"/>
  <c r="P39" i="1"/>
  <c r="S39" i="1"/>
  <c r="Q41" i="1"/>
  <c r="P41" i="1"/>
  <c r="S41" i="1"/>
  <c r="R41" i="1"/>
  <c r="P50" i="1"/>
  <c r="S50" i="1"/>
  <c r="R50" i="1"/>
  <c r="Q50" i="1"/>
  <c r="R47" i="1"/>
  <c r="Q47" i="1"/>
  <c r="P47" i="1"/>
  <c r="S47" i="1"/>
  <c r="G52" i="1"/>
  <c r="F52" i="1"/>
  <c r="G36" i="1"/>
  <c r="F36" i="1"/>
  <c r="R45" i="1"/>
  <c r="Q45" i="1"/>
  <c r="P45" i="1"/>
  <c r="S45" i="1"/>
  <c r="R37" i="1"/>
  <c r="Q37" i="1"/>
  <c r="P37" i="1"/>
  <c r="S37" i="1"/>
  <c r="R46" i="1"/>
  <c r="Q46" i="1"/>
  <c r="P46" i="1"/>
  <c r="S46" i="1"/>
  <c r="R36" i="1"/>
  <c r="Q36" i="1"/>
  <c r="P36" i="1"/>
  <c r="S36" i="1"/>
  <c r="G48" i="1"/>
  <c r="F48" i="1"/>
  <c r="Q79" i="1"/>
  <c r="Q84" i="1"/>
  <c r="Q71" i="1"/>
  <c r="Q77" i="1"/>
  <c r="Q49" i="1"/>
  <c r="S49" i="1"/>
  <c r="R49" i="1"/>
  <c r="P49" i="1"/>
  <c r="G37" i="1"/>
  <c r="F37" i="1"/>
  <c r="R40" i="1"/>
  <c r="Q40" i="1"/>
  <c r="P40" i="1"/>
  <c r="S40" i="1"/>
  <c r="Q52" i="1"/>
  <c r="P52" i="1"/>
  <c r="S52" i="1"/>
  <c r="R52" i="1"/>
  <c r="Q51" i="1"/>
  <c r="P51" i="1"/>
  <c r="S51" i="1"/>
  <c r="R51" i="1"/>
  <c r="G45" i="1"/>
  <c r="F45" i="1"/>
  <c r="M81" i="1"/>
  <c r="O81" i="1" s="1"/>
  <c r="P42" i="1"/>
  <c r="S42" i="1"/>
  <c r="R42" i="1"/>
  <c r="Q42" i="1"/>
  <c r="R54" i="1"/>
  <c r="Q54" i="1"/>
  <c r="P54" i="1"/>
  <c r="S54" i="1"/>
  <c r="G39" i="1"/>
  <c r="F39" i="1"/>
  <c r="G38" i="1"/>
  <c r="F38" i="1"/>
  <c r="F46" i="5" l="1"/>
  <c r="K39" i="7"/>
  <c r="P17" i="20"/>
  <c r="P13" i="20"/>
  <c r="P10" i="20"/>
  <c r="M43" i="5"/>
  <c r="Q43" i="5" s="1"/>
  <c r="E49" i="5"/>
  <c r="L36" i="7"/>
  <c r="P9" i="20"/>
  <c r="P19" i="20"/>
  <c r="P11" i="20"/>
  <c r="D36" i="7"/>
  <c r="E36" i="7" s="1"/>
  <c r="P20" i="20"/>
  <c r="P18" i="20"/>
  <c r="E45" i="7"/>
  <c r="Q52" i="5"/>
  <c r="D39" i="7"/>
  <c r="L43" i="7"/>
  <c r="M43" i="7" s="1"/>
  <c r="J49" i="9"/>
  <c r="P7" i="20"/>
  <c r="P12" i="20"/>
  <c r="P36" i="3"/>
  <c r="C49" i="9"/>
  <c r="P5" i="20"/>
  <c r="P8" i="20"/>
  <c r="P4" i="20"/>
  <c r="S4" i="20" s="1"/>
  <c r="L45" i="9"/>
  <c r="D15" i="19"/>
  <c r="D19" i="19"/>
  <c r="E4" i="14"/>
  <c r="E4" i="17" s="1"/>
  <c r="C33" i="9"/>
  <c r="K39" i="9"/>
  <c r="E17" i="14"/>
  <c r="C46" i="9"/>
  <c r="I33" i="19"/>
  <c r="D42" i="14"/>
  <c r="E42" i="14" s="1"/>
  <c r="D47" i="9"/>
  <c r="F47" i="9" s="1"/>
  <c r="L41" i="14"/>
  <c r="J12" i="17"/>
  <c r="K44" i="9"/>
  <c r="L36" i="9"/>
  <c r="E7" i="17"/>
  <c r="J36" i="14"/>
  <c r="C36" i="14"/>
  <c r="H10" i="17"/>
  <c r="K39" i="14"/>
  <c r="C15" i="17"/>
  <c r="B44" i="14"/>
  <c r="I44" i="14"/>
  <c r="L47" i="9"/>
  <c r="J18" i="14"/>
  <c r="K42" i="9"/>
  <c r="H13" i="14"/>
  <c r="L40" i="9"/>
  <c r="J11" i="14"/>
  <c r="J20" i="17"/>
  <c r="L49" i="14"/>
  <c r="H8" i="18"/>
  <c r="K37" i="17"/>
  <c r="E18" i="18"/>
  <c r="E18" i="19" s="1"/>
  <c r="C47" i="17"/>
  <c r="J47" i="17"/>
  <c r="K38" i="9"/>
  <c r="H18" i="17"/>
  <c r="K47" i="14"/>
  <c r="C5" i="18"/>
  <c r="C5" i="19" s="1"/>
  <c r="B34" i="17"/>
  <c r="I34" i="17"/>
  <c r="C18" i="18"/>
  <c r="C18" i="19" s="1"/>
  <c r="I47" i="17"/>
  <c r="B47" i="17"/>
  <c r="B45" i="17"/>
  <c r="C16" i="18"/>
  <c r="C16" i="19" s="1"/>
  <c r="I45" i="17"/>
  <c r="H15" i="17"/>
  <c r="K44" i="14"/>
  <c r="J7" i="17"/>
  <c r="L36" i="14"/>
  <c r="C12" i="17"/>
  <c r="B41" i="14"/>
  <c r="I41" i="14"/>
  <c r="E20" i="17"/>
  <c r="C49" i="14"/>
  <c r="J49" i="14"/>
  <c r="C9" i="17"/>
  <c r="B38" i="14"/>
  <c r="I38" i="14"/>
  <c r="H20" i="18"/>
  <c r="K49" i="17"/>
  <c r="E9" i="18"/>
  <c r="E9" i="19" s="1"/>
  <c r="C38" i="17"/>
  <c r="J38" i="17"/>
  <c r="L48" i="17"/>
  <c r="J19" i="18"/>
  <c r="E6" i="18"/>
  <c r="E6" i="19" s="1"/>
  <c r="C35" i="17"/>
  <c r="J35" i="17"/>
  <c r="H14" i="17"/>
  <c r="K43" i="14"/>
  <c r="E12" i="17"/>
  <c r="C41" i="14"/>
  <c r="J41" i="14"/>
  <c r="L37" i="9"/>
  <c r="L42" i="9"/>
  <c r="J16" i="17"/>
  <c r="L45" i="14"/>
  <c r="L43" i="9"/>
  <c r="J14" i="14"/>
  <c r="C48" i="14"/>
  <c r="D48" i="14" s="1"/>
  <c r="E19" i="17"/>
  <c r="J48" i="14"/>
  <c r="K41" i="9"/>
  <c r="H12" i="14"/>
  <c r="C7" i="17"/>
  <c r="I36" i="14"/>
  <c r="B36" i="14"/>
  <c r="H19" i="17"/>
  <c r="K48" i="14"/>
  <c r="C17" i="18"/>
  <c r="C17" i="19" s="1"/>
  <c r="B46" i="17"/>
  <c r="I46" i="17"/>
  <c r="C42" i="17"/>
  <c r="E13" i="18"/>
  <c r="E13" i="19" s="1"/>
  <c r="J42" i="17"/>
  <c r="C11" i="17"/>
  <c r="I40" i="14"/>
  <c r="B40" i="14"/>
  <c r="D40" i="14" s="1"/>
  <c r="E14" i="18"/>
  <c r="E14" i="19" s="1"/>
  <c r="C43" i="17"/>
  <c r="J43" i="17"/>
  <c r="H17" i="18"/>
  <c r="K46" i="17"/>
  <c r="C8" i="18"/>
  <c r="C8" i="19" s="1"/>
  <c r="B37" i="17"/>
  <c r="I37" i="17"/>
  <c r="C14" i="17"/>
  <c r="B43" i="14"/>
  <c r="D43" i="14" s="1"/>
  <c r="I43" i="14"/>
  <c r="E8" i="17"/>
  <c r="J37" i="14"/>
  <c r="C37" i="14"/>
  <c r="D37" i="14" s="1"/>
  <c r="J8" i="17"/>
  <c r="L37" i="14"/>
  <c r="J13" i="17"/>
  <c r="L42" i="14"/>
  <c r="C20" i="17"/>
  <c r="B49" i="14"/>
  <c r="I49" i="14"/>
  <c r="E10" i="17"/>
  <c r="C39" i="14"/>
  <c r="J39" i="14"/>
  <c r="E17" i="17"/>
  <c r="J46" i="14"/>
  <c r="M46" i="14" s="1"/>
  <c r="C46" i="14"/>
  <c r="D46" i="14" s="1"/>
  <c r="H6" i="18"/>
  <c r="K35" i="17"/>
  <c r="H7" i="17"/>
  <c r="K36" i="14"/>
  <c r="B42" i="17"/>
  <c r="D42" i="17" s="1"/>
  <c r="C13" i="18"/>
  <c r="C13" i="19" s="1"/>
  <c r="I42" i="17"/>
  <c r="J17" i="18"/>
  <c r="L46" i="17"/>
  <c r="I33" i="17"/>
  <c r="B33" i="17"/>
  <c r="H9" i="17"/>
  <c r="K38" i="14"/>
  <c r="E16" i="18"/>
  <c r="E16" i="19" s="1"/>
  <c r="J45" i="17"/>
  <c r="C45" i="17"/>
  <c r="D38" i="14"/>
  <c r="C19" i="18"/>
  <c r="C19" i="19" s="1"/>
  <c r="B48" i="17"/>
  <c r="I48" i="17"/>
  <c r="D47" i="14"/>
  <c r="D45" i="14"/>
  <c r="C10" i="17"/>
  <c r="B39" i="14"/>
  <c r="I39" i="14"/>
  <c r="H16" i="17"/>
  <c r="K45" i="14"/>
  <c r="E11" i="18"/>
  <c r="E11" i="19" s="1"/>
  <c r="J40" i="17"/>
  <c r="C40" i="17"/>
  <c r="D40" i="9"/>
  <c r="F40" i="9" s="1"/>
  <c r="E48" i="7"/>
  <c r="E54" i="7" s="1"/>
  <c r="F48" i="7"/>
  <c r="E55" i="7" s="1"/>
  <c r="C34" i="7"/>
  <c r="D34" i="7" s="1"/>
  <c r="E5" i="9"/>
  <c r="E5" i="14" s="1"/>
  <c r="L35" i="7"/>
  <c r="J6" i="9"/>
  <c r="L39" i="7"/>
  <c r="J10" i="9"/>
  <c r="M48" i="7"/>
  <c r="N48" i="7" s="1"/>
  <c r="O47" i="5"/>
  <c r="M41" i="7"/>
  <c r="K40" i="7"/>
  <c r="M40" i="7" s="1"/>
  <c r="O40" i="7" s="1"/>
  <c r="H11" i="9"/>
  <c r="P47" i="5"/>
  <c r="I49" i="7"/>
  <c r="M49" i="7" s="1"/>
  <c r="O49" i="7" s="1"/>
  <c r="M42" i="7"/>
  <c r="Q42" i="7" s="1"/>
  <c r="I35" i="7"/>
  <c r="C6" i="9"/>
  <c r="C6" i="14" s="1"/>
  <c r="L38" i="7"/>
  <c r="M38" i="7" s="1"/>
  <c r="N38" i="7" s="1"/>
  <c r="L38" i="9"/>
  <c r="M38" i="9" s="1"/>
  <c r="D42" i="9"/>
  <c r="E42" i="9" s="1"/>
  <c r="M51" i="9"/>
  <c r="Q51" i="9" s="1"/>
  <c r="M47" i="9"/>
  <c r="P47" i="9" s="1"/>
  <c r="D49" i="7"/>
  <c r="D33" i="7"/>
  <c r="M52" i="9"/>
  <c r="N52" i="9" s="1"/>
  <c r="D50" i="9"/>
  <c r="E50" i="9" s="1"/>
  <c r="D52" i="9"/>
  <c r="E52" i="9" s="1"/>
  <c r="M50" i="9"/>
  <c r="O50" i="9" s="1"/>
  <c r="F23" i="7"/>
  <c r="F23" i="9" s="1"/>
  <c r="E47" i="9"/>
  <c r="I35" i="9"/>
  <c r="B35" i="9"/>
  <c r="D35" i="9" s="1"/>
  <c r="F9" i="7"/>
  <c r="C41" i="9"/>
  <c r="D41" i="9" s="1"/>
  <c r="J41" i="9"/>
  <c r="T44" i="3"/>
  <c r="C29" i="2" s="1"/>
  <c r="C30" i="2" s="1"/>
  <c r="M41" i="5"/>
  <c r="F21" i="7"/>
  <c r="F21" i="9" s="1"/>
  <c r="F36" i="5"/>
  <c r="J15" i="7"/>
  <c r="F7" i="7"/>
  <c r="F7" i="9" s="1"/>
  <c r="F7" i="14" s="1"/>
  <c r="F7" i="17" s="1"/>
  <c r="F7" i="18" s="1"/>
  <c r="P11" i="5"/>
  <c r="F22" i="7"/>
  <c r="F22" i="9" s="1"/>
  <c r="D46" i="9"/>
  <c r="D38" i="9"/>
  <c r="I49" i="9"/>
  <c r="M49" i="9" s="1"/>
  <c r="B49" i="9"/>
  <c r="D49" i="9" s="1"/>
  <c r="M48" i="9"/>
  <c r="F17" i="7"/>
  <c r="F17" i="9" s="1"/>
  <c r="E48" i="5"/>
  <c r="E54" i="5" s="1"/>
  <c r="J34" i="7"/>
  <c r="J44" i="5"/>
  <c r="P16" i="5"/>
  <c r="I43" i="9"/>
  <c r="M43" i="9" s="1"/>
  <c r="B43" i="9"/>
  <c r="D43" i="9" s="1"/>
  <c r="M46" i="9"/>
  <c r="D48" i="9"/>
  <c r="J39" i="9"/>
  <c r="C39" i="9"/>
  <c r="D39" i="9" s="1"/>
  <c r="D45" i="9"/>
  <c r="C37" i="9"/>
  <c r="D37" i="9" s="1"/>
  <c r="J37" i="9"/>
  <c r="M37" i="9" s="1"/>
  <c r="F18" i="7"/>
  <c r="F18" i="9" s="1"/>
  <c r="F18" i="14" s="1"/>
  <c r="F18" i="17" s="1"/>
  <c r="F18" i="18" s="1"/>
  <c r="F13" i="7"/>
  <c r="F13" i="9" s="1"/>
  <c r="F13" i="14" s="1"/>
  <c r="F13" i="17" s="1"/>
  <c r="F13" i="18" s="1"/>
  <c r="J36" i="9"/>
  <c r="M36" i="9" s="1"/>
  <c r="C36" i="9"/>
  <c r="D36" i="9" s="1"/>
  <c r="B44" i="9"/>
  <c r="I44" i="9"/>
  <c r="M45" i="9"/>
  <c r="J33" i="9"/>
  <c r="D33" i="9"/>
  <c r="H4" i="7"/>
  <c r="D51" i="9"/>
  <c r="C34" i="9"/>
  <c r="D34" i="9" s="1"/>
  <c r="F42" i="9"/>
  <c r="E35" i="7"/>
  <c r="F35" i="7"/>
  <c r="E47" i="7"/>
  <c r="F51" i="7"/>
  <c r="Q49" i="5"/>
  <c r="P49" i="5"/>
  <c r="O49" i="5"/>
  <c r="N49" i="5"/>
  <c r="N52" i="5"/>
  <c r="R47" i="3"/>
  <c r="W47" i="3" s="1"/>
  <c r="E34" i="5"/>
  <c r="F65" i="5"/>
  <c r="O46" i="5"/>
  <c r="P20" i="5"/>
  <c r="S20" i="5" s="1"/>
  <c r="P51" i="7"/>
  <c r="P22" i="5"/>
  <c r="S22" i="5" s="1"/>
  <c r="P8" i="5"/>
  <c r="S8" i="5" s="1"/>
  <c r="O51" i="7"/>
  <c r="N51" i="7"/>
  <c r="P47" i="3"/>
  <c r="P46" i="5"/>
  <c r="M37" i="7"/>
  <c r="Q47" i="3"/>
  <c r="V47" i="3" s="1"/>
  <c r="O52" i="5"/>
  <c r="R52" i="5" s="1"/>
  <c r="F78" i="5"/>
  <c r="F69" i="5"/>
  <c r="Q47" i="5"/>
  <c r="O50" i="5"/>
  <c r="P47" i="7"/>
  <c r="P48" i="7"/>
  <c r="P50" i="5"/>
  <c r="O48" i="7"/>
  <c r="P12" i="5"/>
  <c r="S12" i="5" s="1"/>
  <c r="G47" i="3"/>
  <c r="Q50" i="5"/>
  <c r="Q48" i="7"/>
  <c r="P13" i="5"/>
  <c r="T53" i="1"/>
  <c r="T43" i="1"/>
  <c r="W43" i="1" s="1"/>
  <c r="M36" i="5"/>
  <c r="N36" i="5" s="1"/>
  <c r="E40" i="7"/>
  <c r="Q45" i="7"/>
  <c r="O45" i="7"/>
  <c r="P45" i="7"/>
  <c r="N45" i="7"/>
  <c r="L33" i="5"/>
  <c r="J4" i="7"/>
  <c r="I67" i="5"/>
  <c r="I11" i="7"/>
  <c r="I11" i="9" s="1"/>
  <c r="I11" i="14" s="1"/>
  <c r="I11" i="17" s="1"/>
  <c r="I11" i="18" s="1"/>
  <c r="I11" i="19" s="1"/>
  <c r="I66" i="5"/>
  <c r="I10" i="7"/>
  <c r="I10" i="9" s="1"/>
  <c r="I10" i="14" s="1"/>
  <c r="I10" i="17" s="1"/>
  <c r="I10" i="18" s="1"/>
  <c r="I10" i="19" s="1"/>
  <c r="F76" i="5"/>
  <c r="F20" i="7"/>
  <c r="F20" i="9" s="1"/>
  <c r="F75" i="5"/>
  <c r="F19" i="7"/>
  <c r="F19" i="9" s="1"/>
  <c r="F19" i="14" s="1"/>
  <c r="F19" i="17" s="1"/>
  <c r="F19" i="18" s="1"/>
  <c r="K34" i="5"/>
  <c r="H5" i="7"/>
  <c r="I71" i="5"/>
  <c r="I15" i="7"/>
  <c r="I15" i="9" s="1"/>
  <c r="I15" i="14" s="1"/>
  <c r="I15" i="17" s="1"/>
  <c r="I15" i="18" s="1"/>
  <c r="I15" i="19" s="1"/>
  <c r="G69" i="5"/>
  <c r="G13" i="7"/>
  <c r="G13" i="9" s="1"/>
  <c r="G13" i="14" s="1"/>
  <c r="G13" i="17" s="1"/>
  <c r="G13" i="18" s="1"/>
  <c r="G13" i="19" s="1"/>
  <c r="Q47" i="7"/>
  <c r="F72" i="5"/>
  <c r="F16" i="7"/>
  <c r="F16" i="9" s="1"/>
  <c r="Q40" i="7"/>
  <c r="R51" i="5"/>
  <c r="F68" i="5"/>
  <c r="F12" i="7"/>
  <c r="F12" i="9" s="1"/>
  <c r="G79" i="5"/>
  <c r="G23" i="7"/>
  <c r="G23" i="9" s="1"/>
  <c r="F67" i="5"/>
  <c r="F11" i="7"/>
  <c r="F11" i="9" s="1"/>
  <c r="F70" i="5"/>
  <c r="F14" i="7"/>
  <c r="F14" i="9" s="1"/>
  <c r="M36" i="7"/>
  <c r="Q36" i="7" s="1"/>
  <c r="N47" i="7"/>
  <c r="P15" i="5"/>
  <c r="R15" i="5" s="1"/>
  <c r="E15" i="7"/>
  <c r="I62" i="5"/>
  <c r="I6" i="7"/>
  <c r="I6" i="9" s="1"/>
  <c r="I6" i="14" s="1"/>
  <c r="I6" i="17" s="1"/>
  <c r="I6" i="18" s="1"/>
  <c r="I6" i="19" s="1"/>
  <c r="F64" i="5"/>
  <c r="F8" i="7"/>
  <c r="F8" i="9" s="1"/>
  <c r="F8" i="14" s="1"/>
  <c r="F8" i="17" s="1"/>
  <c r="F8" i="18" s="1"/>
  <c r="G75" i="5"/>
  <c r="G19" i="7"/>
  <c r="G19" i="9" s="1"/>
  <c r="G19" i="14" s="1"/>
  <c r="G19" i="17" s="1"/>
  <c r="G19" i="18" s="1"/>
  <c r="G19" i="19" s="1"/>
  <c r="I72" i="5"/>
  <c r="I16" i="7"/>
  <c r="I16" i="9" s="1"/>
  <c r="I16" i="14" s="1"/>
  <c r="I16" i="17" s="1"/>
  <c r="I16" i="18" s="1"/>
  <c r="I16" i="19" s="1"/>
  <c r="G70" i="5"/>
  <c r="G14" i="7"/>
  <c r="G14" i="9" s="1"/>
  <c r="G14" i="14" s="1"/>
  <c r="G14" i="17" s="1"/>
  <c r="G14" i="18" s="1"/>
  <c r="G14" i="19" s="1"/>
  <c r="L34" i="5"/>
  <c r="J5" i="7"/>
  <c r="G73" i="5"/>
  <c r="G17" i="7"/>
  <c r="G17" i="9" s="1"/>
  <c r="G17" i="14" s="1"/>
  <c r="G17" i="17" s="1"/>
  <c r="G17" i="18" s="1"/>
  <c r="G17" i="19" s="1"/>
  <c r="G76" i="5"/>
  <c r="G20" i="7"/>
  <c r="G20" i="9" s="1"/>
  <c r="G20" i="14" s="1"/>
  <c r="G20" i="17" s="1"/>
  <c r="G20" i="18" s="1"/>
  <c r="G20" i="19" s="1"/>
  <c r="G74" i="5"/>
  <c r="G18" i="7"/>
  <c r="G18" i="9" s="1"/>
  <c r="F62" i="5"/>
  <c r="F6" i="7"/>
  <c r="F6" i="9" s="1"/>
  <c r="I63" i="5"/>
  <c r="I7" i="7"/>
  <c r="I7" i="9" s="1"/>
  <c r="I7" i="14" s="1"/>
  <c r="I7" i="17" s="1"/>
  <c r="I7" i="18" s="1"/>
  <c r="I7" i="19" s="1"/>
  <c r="P6" i="5"/>
  <c r="I77" i="5"/>
  <c r="I21" i="7"/>
  <c r="I21" i="9" s="1"/>
  <c r="G71" i="5"/>
  <c r="G15" i="7"/>
  <c r="G15" i="9" s="1"/>
  <c r="G15" i="14" s="1"/>
  <c r="G15" i="17" s="1"/>
  <c r="G15" i="18" s="1"/>
  <c r="G15" i="19" s="1"/>
  <c r="I76" i="5"/>
  <c r="I20" i="7"/>
  <c r="I20" i="9" s="1"/>
  <c r="I20" i="14" s="1"/>
  <c r="I20" i="17" s="1"/>
  <c r="I20" i="18" s="1"/>
  <c r="I20" i="19" s="1"/>
  <c r="I78" i="5"/>
  <c r="I22" i="7"/>
  <c r="I22" i="9" s="1"/>
  <c r="G72" i="5"/>
  <c r="G16" i="7"/>
  <c r="G16" i="9" s="1"/>
  <c r="G16" i="14" s="1"/>
  <c r="G16" i="17" s="1"/>
  <c r="G16" i="18" s="1"/>
  <c r="G16" i="19" s="1"/>
  <c r="I73" i="5"/>
  <c r="I17" i="7"/>
  <c r="I17" i="9" s="1"/>
  <c r="I17" i="14" s="1"/>
  <c r="I17" i="17" s="1"/>
  <c r="I17" i="18" s="1"/>
  <c r="I17" i="19" s="1"/>
  <c r="G67" i="5"/>
  <c r="G11" i="7"/>
  <c r="G11" i="9" s="1"/>
  <c r="G11" i="14" s="1"/>
  <c r="G11" i="17" s="1"/>
  <c r="G11" i="18" s="1"/>
  <c r="G11" i="19" s="1"/>
  <c r="I64" i="5"/>
  <c r="I8" i="7"/>
  <c r="I8" i="9" s="1"/>
  <c r="I8" i="14" s="1"/>
  <c r="I8" i="17" s="1"/>
  <c r="I8" i="18" s="1"/>
  <c r="I8" i="19" s="1"/>
  <c r="G62" i="5"/>
  <c r="G6" i="7"/>
  <c r="G6" i="9" s="1"/>
  <c r="G6" i="14" s="1"/>
  <c r="G6" i="17" s="1"/>
  <c r="G6" i="18" s="1"/>
  <c r="G6" i="19" s="1"/>
  <c r="N40" i="7"/>
  <c r="I75" i="5"/>
  <c r="I19" i="7"/>
  <c r="I19" i="9" s="1"/>
  <c r="I19" i="14" s="1"/>
  <c r="I19" i="17" s="1"/>
  <c r="I19" i="18" s="1"/>
  <c r="I19" i="19" s="1"/>
  <c r="G65" i="5"/>
  <c r="G9" i="7"/>
  <c r="G9" i="9" s="1"/>
  <c r="G9" i="14" s="1"/>
  <c r="G9" i="17" s="1"/>
  <c r="G9" i="18" s="1"/>
  <c r="G9" i="19" s="1"/>
  <c r="G68" i="5"/>
  <c r="G12" i="7"/>
  <c r="G12" i="9" s="1"/>
  <c r="G12" i="14" s="1"/>
  <c r="G12" i="17" s="1"/>
  <c r="G12" i="18" s="1"/>
  <c r="G12" i="19" s="1"/>
  <c r="G66" i="5"/>
  <c r="G10" i="7"/>
  <c r="G10" i="9" s="1"/>
  <c r="G10" i="14" s="1"/>
  <c r="G10" i="17" s="1"/>
  <c r="G10" i="18" s="1"/>
  <c r="G10" i="19" s="1"/>
  <c r="I79" i="5"/>
  <c r="I23" i="7"/>
  <c r="I23" i="9" s="1"/>
  <c r="G77" i="5"/>
  <c r="G21" i="7"/>
  <c r="G21" i="9" s="1"/>
  <c r="F66" i="5"/>
  <c r="F10" i="7"/>
  <c r="F10" i="9" s="1"/>
  <c r="F10" i="14" s="1"/>
  <c r="F10" i="17" s="1"/>
  <c r="F10" i="18" s="1"/>
  <c r="P40" i="7"/>
  <c r="M39" i="5"/>
  <c r="P39" i="5" s="1"/>
  <c r="I74" i="5"/>
  <c r="I18" i="7"/>
  <c r="I18" i="9" s="1"/>
  <c r="I18" i="14" s="1"/>
  <c r="I18" i="17" s="1"/>
  <c r="I18" i="18" s="1"/>
  <c r="I18" i="19" s="1"/>
  <c r="M33" i="4"/>
  <c r="N33" i="4" s="1"/>
  <c r="I69" i="5"/>
  <c r="I13" i="7"/>
  <c r="I13" i="9" s="1"/>
  <c r="I13" i="14" s="1"/>
  <c r="I13" i="17" s="1"/>
  <c r="I13" i="18" s="1"/>
  <c r="I13" i="19" s="1"/>
  <c r="G63" i="5"/>
  <c r="G7" i="7"/>
  <c r="G7" i="9" s="1"/>
  <c r="I68" i="5"/>
  <c r="I12" i="7"/>
  <c r="I12" i="9" s="1"/>
  <c r="I12" i="14" s="1"/>
  <c r="I12" i="17" s="1"/>
  <c r="I12" i="18" s="1"/>
  <c r="I12" i="19" s="1"/>
  <c r="M39" i="7"/>
  <c r="N39" i="7" s="1"/>
  <c r="I70" i="5"/>
  <c r="I14" i="7"/>
  <c r="I14" i="9" s="1"/>
  <c r="I14" i="14" s="1"/>
  <c r="I14" i="17" s="1"/>
  <c r="I14" i="18" s="1"/>
  <c r="I14" i="19" s="1"/>
  <c r="G64" i="5"/>
  <c r="G8" i="7"/>
  <c r="G8" i="9" s="1"/>
  <c r="G8" i="14" s="1"/>
  <c r="G8" i="17" s="1"/>
  <c r="G8" i="18" s="1"/>
  <c r="G8" i="19" s="1"/>
  <c r="I65" i="5"/>
  <c r="I9" i="7"/>
  <c r="I9" i="9" s="1"/>
  <c r="I9" i="14" s="1"/>
  <c r="I9" i="17" s="1"/>
  <c r="I9" i="18" s="1"/>
  <c r="I9" i="19" s="1"/>
  <c r="F71" i="5"/>
  <c r="F15" i="7"/>
  <c r="F15" i="9" s="1"/>
  <c r="F15" i="14" s="1"/>
  <c r="F15" i="17" s="1"/>
  <c r="F15" i="18" s="1"/>
  <c r="G78" i="5"/>
  <c r="G22" i="7"/>
  <c r="G22" i="9" s="1"/>
  <c r="P41" i="7"/>
  <c r="N41" i="7"/>
  <c r="Q41" i="7"/>
  <c r="O41" i="7"/>
  <c r="F37" i="7"/>
  <c r="E37" i="7"/>
  <c r="E34" i="7"/>
  <c r="F34" i="7"/>
  <c r="O36" i="5"/>
  <c r="N42" i="5"/>
  <c r="Q42" i="5"/>
  <c r="P42" i="5"/>
  <c r="O42" i="5"/>
  <c r="N38" i="5"/>
  <c r="Q38" i="5"/>
  <c r="P38" i="5"/>
  <c r="O38" i="5"/>
  <c r="N40" i="5"/>
  <c r="Q40" i="5"/>
  <c r="P40" i="5"/>
  <c r="O40" i="5"/>
  <c r="Q46" i="7"/>
  <c r="O46" i="7"/>
  <c r="P46" i="7"/>
  <c r="N46" i="7"/>
  <c r="E42" i="7"/>
  <c r="F42" i="7"/>
  <c r="F43" i="7"/>
  <c r="E43" i="7"/>
  <c r="Q52" i="7"/>
  <c r="O52" i="7"/>
  <c r="P52" i="7"/>
  <c r="N52" i="7"/>
  <c r="Q50" i="7"/>
  <c r="O50" i="7"/>
  <c r="P50" i="7"/>
  <c r="N50" i="7"/>
  <c r="F39" i="7"/>
  <c r="E39" i="7"/>
  <c r="F49" i="7"/>
  <c r="E49" i="7"/>
  <c r="F33" i="7"/>
  <c r="E33" i="7"/>
  <c r="E46" i="7"/>
  <c r="F46" i="7"/>
  <c r="P37" i="7"/>
  <c r="N37" i="7"/>
  <c r="Q37" i="7"/>
  <c r="O37" i="7"/>
  <c r="N45" i="5"/>
  <c r="Q45" i="5"/>
  <c r="P45" i="5"/>
  <c r="O45" i="5"/>
  <c r="N41" i="5"/>
  <c r="Q41" i="5"/>
  <c r="P41" i="5"/>
  <c r="O41" i="5"/>
  <c r="N37" i="5"/>
  <c r="Q37" i="5"/>
  <c r="P37" i="5"/>
  <c r="O37" i="5"/>
  <c r="Q39" i="5"/>
  <c r="N43" i="5"/>
  <c r="N35" i="5"/>
  <c r="Q35" i="5"/>
  <c r="P35" i="5"/>
  <c r="O35" i="5"/>
  <c r="N48" i="5"/>
  <c r="Q48" i="5"/>
  <c r="P48" i="5"/>
  <c r="O48" i="5"/>
  <c r="P14" i="5"/>
  <c r="R14" i="5" s="1"/>
  <c r="S14" i="5" s="1"/>
  <c r="P19" i="5"/>
  <c r="S19" i="5" s="1"/>
  <c r="P10" i="5"/>
  <c r="S10" i="5" s="1"/>
  <c r="P17" i="5"/>
  <c r="P9" i="5"/>
  <c r="S9" i="5" s="1"/>
  <c r="C44" i="5"/>
  <c r="D44" i="5" s="1"/>
  <c r="F44" i="5" s="1"/>
  <c r="D71" i="5"/>
  <c r="E38" i="7"/>
  <c r="F38" i="7"/>
  <c r="F41" i="7"/>
  <c r="E41" i="7"/>
  <c r="Q49" i="7"/>
  <c r="E52" i="7"/>
  <c r="F52" i="7"/>
  <c r="E50" i="7"/>
  <c r="F50" i="7"/>
  <c r="P38" i="7"/>
  <c r="O26" i="4"/>
  <c r="P26" i="4" s="1"/>
  <c r="Q27" i="4" s="1"/>
  <c r="S13" i="4"/>
  <c r="S6" i="5"/>
  <c r="F77" i="5"/>
  <c r="P21" i="5"/>
  <c r="S21" i="5" s="1"/>
  <c r="S16" i="5"/>
  <c r="F79" i="5"/>
  <c r="P23" i="5"/>
  <c r="S23" i="5" s="1"/>
  <c r="F63" i="5"/>
  <c r="P7" i="5"/>
  <c r="S7" i="5" s="1"/>
  <c r="F74" i="5"/>
  <c r="P18" i="5"/>
  <c r="S18" i="5" s="1"/>
  <c r="Q4" i="4"/>
  <c r="S4" i="4"/>
  <c r="Q5" i="4"/>
  <c r="S5" i="4"/>
  <c r="S11" i="5"/>
  <c r="P5" i="5"/>
  <c r="K33" i="5"/>
  <c r="J71" i="5"/>
  <c r="L44" i="5"/>
  <c r="M44" i="5" s="1"/>
  <c r="E44" i="4"/>
  <c r="F44" i="4"/>
  <c r="E33" i="4"/>
  <c r="F33" i="4"/>
  <c r="T36" i="3"/>
  <c r="T37" i="3"/>
  <c r="T49" i="3"/>
  <c r="T45" i="3"/>
  <c r="T35" i="1"/>
  <c r="T54" i="3"/>
  <c r="C31" i="2"/>
  <c r="C35" i="2" s="1"/>
  <c r="C32" i="2"/>
  <c r="C36" i="2" s="1"/>
  <c r="T46" i="3"/>
  <c r="T48" i="1"/>
  <c r="T38" i="3"/>
  <c r="T50" i="3"/>
  <c r="T48" i="3"/>
  <c r="T46" i="1"/>
  <c r="T45" i="1"/>
  <c r="T42" i="1"/>
  <c r="T52" i="3"/>
  <c r="T42" i="3"/>
  <c r="T55" i="3"/>
  <c r="T41" i="3"/>
  <c r="T51" i="3"/>
  <c r="T53" i="3"/>
  <c r="T43" i="3"/>
  <c r="B29" i="2" s="1"/>
  <c r="B30" i="2" s="1"/>
  <c r="T36" i="1"/>
  <c r="T37" i="1"/>
  <c r="T50" i="1"/>
  <c r="T40" i="3"/>
  <c r="T39" i="3"/>
  <c r="T49" i="1"/>
  <c r="T40" i="1"/>
  <c r="T51" i="1"/>
  <c r="T52" i="1"/>
  <c r="T41" i="1"/>
  <c r="T38" i="1"/>
  <c r="T54" i="1"/>
  <c r="T47" i="1"/>
  <c r="T39" i="1"/>
  <c r="T44" i="1"/>
  <c r="O43" i="7" l="1"/>
  <c r="Q43" i="7"/>
  <c r="N42" i="7"/>
  <c r="C33" i="14"/>
  <c r="D33" i="14" s="1"/>
  <c r="M42" i="9"/>
  <c r="O42" i="9" s="1"/>
  <c r="P42" i="7"/>
  <c r="R42" i="7" s="1"/>
  <c r="O43" i="5"/>
  <c r="F36" i="7"/>
  <c r="J33" i="14"/>
  <c r="O42" i="7"/>
  <c r="P43" i="5"/>
  <c r="T47" i="3"/>
  <c r="M49" i="14"/>
  <c r="P22" i="9"/>
  <c r="F7" i="19"/>
  <c r="F19" i="19"/>
  <c r="F13" i="19"/>
  <c r="F15" i="19"/>
  <c r="F10" i="19"/>
  <c r="M62" i="5"/>
  <c r="O62" i="5" s="1"/>
  <c r="Q72" i="5"/>
  <c r="F8" i="19"/>
  <c r="F18" i="19"/>
  <c r="F42" i="14"/>
  <c r="D45" i="17"/>
  <c r="M45" i="14"/>
  <c r="Q45" i="14" s="1"/>
  <c r="D36" i="14"/>
  <c r="F36" i="14" s="1"/>
  <c r="I48" i="19"/>
  <c r="B48" i="19"/>
  <c r="I42" i="19"/>
  <c r="B42" i="19"/>
  <c r="K46" i="18"/>
  <c r="H17" i="19"/>
  <c r="K46" i="19" s="1"/>
  <c r="C42" i="19"/>
  <c r="J42" i="19"/>
  <c r="J35" i="19"/>
  <c r="C35" i="19"/>
  <c r="I45" i="19"/>
  <c r="B45" i="19"/>
  <c r="B47" i="19"/>
  <c r="I47" i="19"/>
  <c r="K35" i="18"/>
  <c r="H6" i="19"/>
  <c r="K35" i="19" s="1"/>
  <c r="L48" i="18"/>
  <c r="J19" i="19"/>
  <c r="L48" i="19" s="1"/>
  <c r="J38" i="19"/>
  <c r="C38" i="19"/>
  <c r="C47" i="19"/>
  <c r="J47" i="19"/>
  <c r="J45" i="19"/>
  <c r="C45" i="19"/>
  <c r="C40" i="19"/>
  <c r="J40" i="19"/>
  <c r="L46" i="18"/>
  <c r="J17" i="19"/>
  <c r="L46" i="19" s="1"/>
  <c r="B37" i="19"/>
  <c r="I37" i="19"/>
  <c r="I46" i="19"/>
  <c r="B46" i="19"/>
  <c r="C43" i="19"/>
  <c r="J43" i="19"/>
  <c r="K49" i="18"/>
  <c r="H20" i="19"/>
  <c r="K49" i="19" s="1"/>
  <c r="I34" i="19"/>
  <c r="B34" i="19"/>
  <c r="K37" i="18"/>
  <c r="H8" i="19"/>
  <c r="K37" i="19" s="1"/>
  <c r="M41" i="9"/>
  <c r="M37" i="14"/>
  <c r="N37" i="14" s="1"/>
  <c r="D39" i="14"/>
  <c r="E39" i="14" s="1"/>
  <c r="D49" i="14"/>
  <c r="E49" i="14" s="1"/>
  <c r="P45" i="14"/>
  <c r="N45" i="14"/>
  <c r="O45" i="14"/>
  <c r="F37" i="14"/>
  <c r="E37" i="14"/>
  <c r="Q46" i="14"/>
  <c r="O46" i="14"/>
  <c r="P46" i="14"/>
  <c r="N46" i="14"/>
  <c r="E33" i="14"/>
  <c r="F33" i="14"/>
  <c r="E48" i="14"/>
  <c r="F48" i="14"/>
  <c r="M73" i="5"/>
  <c r="O73" i="5" s="1"/>
  <c r="P18" i="9"/>
  <c r="P18" i="14" s="1"/>
  <c r="P18" i="17" s="1"/>
  <c r="G18" i="14"/>
  <c r="G18" i="17" s="1"/>
  <c r="G18" i="18" s="1"/>
  <c r="G18" i="19" s="1"/>
  <c r="F11" i="14"/>
  <c r="F11" i="17" s="1"/>
  <c r="F11" i="18" s="1"/>
  <c r="P11" i="9"/>
  <c r="P11" i="14" s="1"/>
  <c r="P11" i="17" s="1"/>
  <c r="P12" i="9"/>
  <c r="P12" i="14" s="1"/>
  <c r="P12" i="17" s="1"/>
  <c r="F12" i="14"/>
  <c r="F12" i="17" s="1"/>
  <c r="F12" i="18" s="1"/>
  <c r="P16" i="9"/>
  <c r="P16" i="14" s="1"/>
  <c r="P16" i="17" s="1"/>
  <c r="F16" i="14"/>
  <c r="F16" i="17" s="1"/>
  <c r="F16" i="18" s="1"/>
  <c r="P21" i="9"/>
  <c r="L39" i="9"/>
  <c r="M39" i="9" s="1"/>
  <c r="J10" i="14"/>
  <c r="C34" i="14"/>
  <c r="D34" i="14" s="1"/>
  <c r="E5" i="17"/>
  <c r="J34" i="14"/>
  <c r="C10" i="18"/>
  <c r="C10" i="19" s="1"/>
  <c r="I39" i="17"/>
  <c r="B39" i="17"/>
  <c r="F45" i="17"/>
  <c r="E45" i="17"/>
  <c r="H9" i="18"/>
  <c r="K38" i="17"/>
  <c r="E42" i="17"/>
  <c r="F42" i="17"/>
  <c r="E4" i="18"/>
  <c r="E4" i="19" s="1"/>
  <c r="J33" i="17"/>
  <c r="C33" i="17"/>
  <c r="J8" i="18"/>
  <c r="L37" i="17"/>
  <c r="J43" i="18"/>
  <c r="C43" i="18"/>
  <c r="B46" i="18"/>
  <c r="I46" i="18"/>
  <c r="E36" i="14"/>
  <c r="L43" i="14"/>
  <c r="M43" i="14" s="1"/>
  <c r="J14" i="17"/>
  <c r="E12" i="18"/>
  <c r="E12" i="19" s="1"/>
  <c r="C41" i="17"/>
  <c r="J41" i="17"/>
  <c r="C9" i="18"/>
  <c r="C9" i="19" s="1"/>
  <c r="B38" i="17"/>
  <c r="D38" i="17" s="1"/>
  <c r="I38" i="17"/>
  <c r="C12" i="18"/>
  <c r="C12" i="19" s="1"/>
  <c r="B41" i="19" s="1"/>
  <c r="B41" i="17"/>
  <c r="I41" i="17"/>
  <c r="H15" i="18"/>
  <c r="K44" i="17"/>
  <c r="H18" i="18"/>
  <c r="K47" i="17"/>
  <c r="C47" i="18"/>
  <c r="J47" i="18"/>
  <c r="H13" i="17"/>
  <c r="K42" i="14"/>
  <c r="M42" i="14" s="1"/>
  <c r="K39" i="17"/>
  <c r="H10" i="18"/>
  <c r="R40" i="5"/>
  <c r="P7" i="9"/>
  <c r="P7" i="14" s="1"/>
  <c r="P7" i="17" s="1"/>
  <c r="G7" i="14"/>
  <c r="G7" i="17" s="1"/>
  <c r="G7" i="18" s="1"/>
  <c r="G7" i="19" s="1"/>
  <c r="P17" i="9"/>
  <c r="P17" i="14" s="1"/>
  <c r="P17" i="17" s="1"/>
  <c r="F17" i="14"/>
  <c r="F17" i="17" s="1"/>
  <c r="F17" i="18" s="1"/>
  <c r="F9" i="9"/>
  <c r="K45" i="17"/>
  <c r="H16" i="18"/>
  <c r="F45" i="14"/>
  <c r="E45" i="14"/>
  <c r="D33" i="17"/>
  <c r="E46" i="14"/>
  <c r="F46" i="14"/>
  <c r="C20" i="18"/>
  <c r="C20" i="19" s="1"/>
  <c r="B49" i="17"/>
  <c r="I49" i="17"/>
  <c r="F43" i="14"/>
  <c r="E43" i="14"/>
  <c r="B37" i="18"/>
  <c r="I37" i="18"/>
  <c r="C11" i="18"/>
  <c r="C11" i="19" s="1"/>
  <c r="B40" i="17"/>
  <c r="D40" i="17" s="1"/>
  <c r="I40" i="17"/>
  <c r="M36" i="14"/>
  <c r="M48" i="14"/>
  <c r="H14" i="18"/>
  <c r="K43" i="17"/>
  <c r="E20" i="18"/>
  <c r="E20" i="19" s="1"/>
  <c r="J49" i="17"/>
  <c r="C49" i="17"/>
  <c r="D47" i="17"/>
  <c r="J20" i="18"/>
  <c r="L49" i="17"/>
  <c r="P6" i="9"/>
  <c r="P6" i="14" s="1"/>
  <c r="P6" i="17" s="1"/>
  <c r="F6" i="14"/>
  <c r="F6" i="17" s="1"/>
  <c r="F6" i="18" s="1"/>
  <c r="P14" i="9"/>
  <c r="P14" i="14" s="1"/>
  <c r="P14" i="17" s="1"/>
  <c r="F14" i="14"/>
  <c r="F14" i="17" s="1"/>
  <c r="F14" i="18" s="1"/>
  <c r="P23" i="9"/>
  <c r="C6" i="17"/>
  <c r="I35" i="14"/>
  <c r="B35" i="14"/>
  <c r="D35" i="14" s="1"/>
  <c r="L35" i="9"/>
  <c r="M35" i="9" s="1"/>
  <c r="N35" i="9" s="1"/>
  <c r="J6" i="14"/>
  <c r="F47" i="14"/>
  <c r="E47" i="14"/>
  <c r="I48" i="18"/>
  <c r="B48" i="18"/>
  <c r="C45" i="18"/>
  <c r="J45" i="18"/>
  <c r="H7" i="18"/>
  <c r="K36" i="17"/>
  <c r="C39" i="17"/>
  <c r="E10" i="18"/>
  <c r="E10" i="19" s="1"/>
  <c r="J39" i="17"/>
  <c r="L42" i="17"/>
  <c r="J13" i="18"/>
  <c r="C14" i="18"/>
  <c r="C14" i="19" s="1"/>
  <c r="B43" i="19" s="1"/>
  <c r="B43" i="17"/>
  <c r="D43" i="17" s="1"/>
  <c r="I43" i="17"/>
  <c r="P10" i="9"/>
  <c r="P10" i="14" s="1"/>
  <c r="P10" i="17" s="1"/>
  <c r="C7" i="18"/>
  <c r="C7" i="19" s="1"/>
  <c r="B36" i="17"/>
  <c r="I36" i="17"/>
  <c r="E19" i="18"/>
  <c r="E19" i="19" s="1"/>
  <c r="C48" i="17"/>
  <c r="D48" i="17" s="1"/>
  <c r="J48" i="17"/>
  <c r="C35" i="18"/>
  <c r="J35" i="18"/>
  <c r="M38" i="14"/>
  <c r="J7" i="18"/>
  <c r="L36" i="17"/>
  <c r="I34" i="18"/>
  <c r="B34" i="18"/>
  <c r="J11" i="17"/>
  <c r="L40" i="14"/>
  <c r="J18" i="17"/>
  <c r="L47" i="14"/>
  <c r="M47" i="14" s="1"/>
  <c r="C15" i="18"/>
  <c r="C15" i="19" s="1"/>
  <c r="B44" i="17"/>
  <c r="I44" i="17"/>
  <c r="J12" i="18"/>
  <c r="L41" i="17"/>
  <c r="P20" i="9"/>
  <c r="P20" i="14" s="1"/>
  <c r="P20" i="17" s="1"/>
  <c r="F20" i="14"/>
  <c r="F20" i="17" s="1"/>
  <c r="F20" i="18" s="1"/>
  <c r="K40" i="9"/>
  <c r="M40" i="9" s="1"/>
  <c r="O40" i="9" s="1"/>
  <c r="H11" i="14"/>
  <c r="J40" i="18"/>
  <c r="C40" i="18"/>
  <c r="F38" i="14"/>
  <c r="E38" i="14"/>
  <c r="I33" i="18"/>
  <c r="B33" i="18"/>
  <c r="I42" i="18"/>
  <c r="B42" i="18"/>
  <c r="E17" i="18"/>
  <c r="E17" i="19" s="1"/>
  <c r="C46" i="17"/>
  <c r="D46" i="17" s="1"/>
  <c r="J46" i="17"/>
  <c r="M46" i="17" s="1"/>
  <c r="O49" i="14"/>
  <c r="N49" i="14"/>
  <c r="Q49" i="14"/>
  <c r="P49" i="14"/>
  <c r="E8" i="18"/>
  <c r="E8" i="19" s="1"/>
  <c r="C37" i="17"/>
  <c r="D37" i="17" s="1"/>
  <c r="J37" i="17"/>
  <c r="F40" i="14"/>
  <c r="E40" i="14"/>
  <c r="C42" i="18"/>
  <c r="J42" i="18"/>
  <c r="H19" i="18"/>
  <c r="K48" i="17"/>
  <c r="H12" i="17"/>
  <c r="K41" i="14"/>
  <c r="M41" i="14" s="1"/>
  <c r="J16" i="18"/>
  <c r="L45" i="17"/>
  <c r="C38" i="18"/>
  <c r="J38" i="18"/>
  <c r="D41" i="14"/>
  <c r="B45" i="18"/>
  <c r="I45" i="18"/>
  <c r="I47" i="18"/>
  <c r="B47" i="18"/>
  <c r="E7" i="18"/>
  <c r="E7" i="19" s="1"/>
  <c r="C36" i="17"/>
  <c r="J36" i="17"/>
  <c r="E40" i="9"/>
  <c r="O51" i="9"/>
  <c r="L34" i="7"/>
  <c r="J5" i="9"/>
  <c r="O38" i="7"/>
  <c r="N49" i="7"/>
  <c r="N43" i="7"/>
  <c r="P36" i="5"/>
  <c r="M68" i="5"/>
  <c r="O68" i="5" s="1"/>
  <c r="M34" i="5"/>
  <c r="N34" i="5" s="1"/>
  <c r="P19" i="9"/>
  <c r="P19" i="14" s="1"/>
  <c r="P19" i="17" s="1"/>
  <c r="L33" i="7"/>
  <c r="J4" i="9"/>
  <c r="R47" i="5"/>
  <c r="J34" i="9"/>
  <c r="P13" i="9"/>
  <c r="P13" i="14" s="1"/>
  <c r="P13" i="17" s="1"/>
  <c r="L44" i="7"/>
  <c r="J15" i="9"/>
  <c r="P8" i="9"/>
  <c r="P8" i="14" s="1"/>
  <c r="P8" i="17" s="1"/>
  <c r="R49" i="5"/>
  <c r="K33" i="7"/>
  <c r="H4" i="9"/>
  <c r="C44" i="7"/>
  <c r="D44" i="7" s="1"/>
  <c r="F44" i="7" s="1"/>
  <c r="E15" i="9"/>
  <c r="E15" i="14" s="1"/>
  <c r="Q38" i="7"/>
  <c r="R38" i="7" s="1"/>
  <c r="P49" i="7"/>
  <c r="P43" i="7"/>
  <c r="Q36" i="5"/>
  <c r="N39" i="5"/>
  <c r="M78" i="5"/>
  <c r="O78" i="5" s="1"/>
  <c r="K34" i="7"/>
  <c r="H5" i="9"/>
  <c r="N51" i="9"/>
  <c r="M35" i="7"/>
  <c r="P51" i="9"/>
  <c r="Q52" i="9"/>
  <c r="O47" i="9"/>
  <c r="F50" i="9"/>
  <c r="F52" i="9"/>
  <c r="Q47" i="9"/>
  <c r="N47" i="9"/>
  <c r="P52" i="9"/>
  <c r="P50" i="9"/>
  <c r="Q50" i="9"/>
  <c r="N50" i="9"/>
  <c r="O52" i="9"/>
  <c r="R47" i="7"/>
  <c r="F33" i="9"/>
  <c r="E33" i="9"/>
  <c r="Q37" i="9"/>
  <c r="P37" i="9"/>
  <c r="O37" i="9"/>
  <c r="N37" i="9"/>
  <c r="F39" i="9"/>
  <c r="E39" i="9"/>
  <c r="E37" i="9"/>
  <c r="F37" i="9"/>
  <c r="E36" i="9"/>
  <c r="F36" i="9"/>
  <c r="E46" i="9"/>
  <c r="F46" i="9"/>
  <c r="R43" i="5"/>
  <c r="F41" i="9"/>
  <c r="E41" i="9"/>
  <c r="Q41" i="9"/>
  <c r="P41" i="9"/>
  <c r="O41" i="9"/>
  <c r="N41" i="9"/>
  <c r="N46" i="9"/>
  <c r="Q46" i="9"/>
  <c r="P46" i="9"/>
  <c r="O46" i="9"/>
  <c r="N48" i="9"/>
  <c r="Q48" i="9"/>
  <c r="O48" i="9"/>
  <c r="P48" i="9"/>
  <c r="F34" i="9"/>
  <c r="E34" i="9"/>
  <c r="F45" i="9"/>
  <c r="E45" i="9"/>
  <c r="E43" i="9"/>
  <c r="F43" i="9"/>
  <c r="Q49" i="9"/>
  <c r="P49" i="9"/>
  <c r="O49" i="9"/>
  <c r="N49" i="9"/>
  <c r="P36" i="9"/>
  <c r="Q36" i="9"/>
  <c r="O36" i="9"/>
  <c r="N36" i="9"/>
  <c r="Q64" i="5"/>
  <c r="M70" i="5"/>
  <c r="O70" i="5" s="1"/>
  <c r="R46" i="5"/>
  <c r="O45" i="9"/>
  <c r="N45" i="9"/>
  <c r="Q45" i="9"/>
  <c r="P45" i="9"/>
  <c r="O43" i="9"/>
  <c r="N43" i="9"/>
  <c r="Q43" i="9"/>
  <c r="P43" i="9"/>
  <c r="F49" i="9"/>
  <c r="E49" i="9"/>
  <c r="E35" i="9"/>
  <c r="F35" i="9"/>
  <c r="J44" i="9"/>
  <c r="C44" i="9"/>
  <c r="D44" i="9" s="1"/>
  <c r="R48" i="7"/>
  <c r="R51" i="7"/>
  <c r="Q42" i="9"/>
  <c r="P42" i="9"/>
  <c r="N42" i="9"/>
  <c r="Q38" i="9"/>
  <c r="P38" i="9"/>
  <c r="O38" i="9"/>
  <c r="N38" i="9"/>
  <c r="P8" i="7"/>
  <c r="R50" i="5"/>
  <c r="E51" i="9"/>
  <c r="F51" i="9"/>
  <c r="P15" i="9"/>
  <c r="P15" i="14" s="1"/>
  <c r="P15" i="17" s="1"/>
  <c r="E48" i="9"/>
  <c r="F48" i="9"/>
  <c r="F38" i="9"/>
  <c r="E38" i="9"/>
  <c r="P39" i="7"/>
  <c r="M64" i="5"/>
  <c r="O64" i="5" s="1"/>
  <c r="P7" i="7"/>
  <c r="R7" i="7" s="1"/>
  <c r="M66" i="5"/>
  <c r="O66" i="5" s="1"/>
  <c r="P10" i="7"/>
  <c r="R10" i="7" s="1"/>
  <c r="M65" i="5"/>
  <c r="O65" i="5" s="1"/>
  <c r="R41" i="5"/>
  <c r="M72" i="5"/>
  <c r="O72" i="5" s="1"/>
  <c r="P15" i="7"/>
  <c r="S15" i="7" s="1"/>
  <c r="R45" i="7"/>
  <c r="P5" i="7"/>
  <c r="S5" i="7" s="1"/>
  <c r="S13" i="5"/>
  <c r="R13" i="5"/>
  <c r="S15" i="5"/>
  <c r="R40" i="7"/>
  <c r="Q69" i="5"/>
  <c r="Q75" i="5"/>
  <c r="J44" i="7"/>
  <c r="O39" i="5"/>
  <c r="R39" i="5" s="1"/>
  <c r="Q34" i="5"/>
  <c r="Q66" i="5"/>
  <c r="P23" i="7"/>
  <c r="S23" i="7" s="1"/>
  <c r="P20" i="7"/>
  <c r="S20" i="7" s="1"/>
  <c r="M67" i="5"/>
  <c r="O67" i="5" s="1"/>
  <c r="Q78" i="5"/>
  <c r="Q62" i="5"/>
  <c r="Q73" i="5"/>
  <c r="Q70" i="5"/>
  <c r="Q68" i="5"/>
  <c r="P19" i="7"/>
  <c r="S19" i="7" s="1"/>
  <c r="Q67" i="5"/>
  <c r="P6" i="7"/>
  <c r="R6" i="7" s="1"/>
  <c r="P18" i="7"/>
  <c r="R18" i="7" s="1"/>
  <c r="E44" i="5"/>
  <c r="T14" i="5"/>
  <c r="Q65" i="5"/>
  <c r="R17" i="5"/>
  <c r="O39" i="7"/>
  <c r="P36" i="7"/>
  <c r="P12" i="7"/>
  <c r="S12" i="7" s="1"/>
  <c r="P11" i="7"/>
  <c r="R11" i="7" s="1"/>
  <c r="N36" i="7"/>
  <c r="M69" i="5"/>
  <c r="O69" i="5" s="1"/>
  <c r="P16" i="7"/>
  <c r="S16" i="7" s="1"/>
  <c r="Q39" i="7"/>
  <c r="O36" i="7"/>
  <c r="O26" i="5"/>
  <c r="P26" i="5" s="1"/>
  <c r="Q27" i="5" s="1"/>
  <c r="P17" i="7"/>
  <c r="S17" i="7" s="1"/>
  <c r="R35" i="5"/>
  <c r="R37" i="5"/>
  <c r="P9" i="7"/>
  <c r="S9" i="7" s="1"/>
  <c r="R42" i="5"/>
  <c r="M75" i="5"/>
  <c r="O75" i="5" s="1"/>
  <c r="P4" i="7"/>
  <c r="S4" i="7" s="1"/>
  <c r="S5" i="5"/>
  <c r="Q76" i="5"/>
  <c r="S17" i="5"/>
  <c r="P21" i="7"/>
  <c r="R21" i="7" s="1"/>
  <c r="P22" i="7"/>
  <c r="S22" i="7" s="1"/>
  <c r="M76" i="5"/>
  <c r="O76" i="5" s="1"/>
  <c r="R48" i="5"/>
  <c r="R45" i="5"/>
  <c r="R38" i="5"/>
  <c r="O34" i="5"/>
  <c r="P14" i="7"/>
  <c r="R14" i="7" s="1"/>
  <c r="S14" i="7" s="1"/>
  <c r="T14" i="7" s="1"/>
  <c r="P13" i="7"/>
  <c r="R13" i="7" s="1"/>
  <c r="P34" i="5"/>
  <c r="Q71" i="5"/>
  <c r="R41" i="7"/>
  <c r="S10" i="7"/>
  <c r="S8" i="7"/>
  <c r="R8" i="7"/>
  <c r="S7" i="7"/>
  <c r="R20" i="7"/>
  <c r="S18" i="7"/>
  <c r="R49" i="7"/>
  <c r="R50" i="7"/>
  <c r="R52" i="7"/>
  <c r="R46" i="7"/>
  <c r="R37" i="7"/>
  <c r="E44" i="7"/>
  <c r="N44" i="5"/>
  <c r="Q44" i="5"/>
  <c r="P44" i="5"/>
  <c r="O44" i="5"/>
  <c r="Q5" i="5"/>
  <c r="Q4" i="5"/>
  <c r="R43" i="7"/>
  <c r="V52" i="3"/>
  <c r="Q74" i="5"/>
  <c r="M74" i="5"/>
  <c r="O74" i="5" s="1"/>
  <c r="Q63" i="5"/>
  <c r="M63" i="5"/>
  <c r="O63" i="5" s="1"/>
  <c r="M79" i="5"/>
  <c r="O79" i="5" s="1"/>
  <c r="Q79" i="5"/>
  <c r="M71" i="5"/>
  <c r="O71" i="5" s="1"/>
  <c r="Q77" i="5"/>
  <c r="M77" i="5"/>
  <c r="O77" i="5" s="1"/>
  <c r="B32" i="2"/>
  <c r="B36" i="2" s="1"/>
  <c r="B31" i="2"/>
  <c r="B35" i="2" s="1"/>
  <c r="F35" i="2" s="1"/>
  <c r="O26" i="7" l="1"/>
  <c r="P26" i="7" s="1"/>
  <c r="Q27" i="7" s="1"/>
  <c r="R22" i="7"/>
  <c r="M33" i="7"/>
  <c r="F16" i="19"/>
  <c r="F14" i="19"/>
  <c r="F17" i="19"/>
  <c r="F11" i="19"/>
  <c r="F20" i="19"/>
  <c r="F12" i="19"/>
  <c r="I43" i="19"/>
  <c r="F6" i="19"/>
  <c r="D42" i="19"/>
  <c r="E42" i="19" s="1"/>
  <c r="D43" i="19"/>
  <c r="D45" i="19"/>
  <c r="E45" i="19" s="1"/>
  <c r="P6" i="18"/>
  <c r="J41" i="19"/>
  <c r="C41" i="19"/>
  <c r="D41" i="19" s="1"/>
  <c r="F45" i="19"/>
  <c r="K48" i="18"/>
  <c r="H19" i="19"/>
  <c r="K48" i="19" s="1"/>
  <c r="L41" i="18"/>
  <c r="J12" i="19"/>
  <c r="L41" i="19" s="1"/>
  <c r="I36" i="19"/>
  <c r="B36" i="19"/>
  <c r="J39" i="19"/>
  <c r="C39" i="19"/>
  <c r="B40" i="19"/>
  <c r="D40" i="19" s="1"/>
  <c r="I40" i="19"/>
  <c r="K47" i="18"/>
  <c r="H18" i="19"/>
  <c r="K47" i="19" s="1"/>
  <c r="I38" i="19"/>
  <c r="B38" i="19"/>
  <c r="D38" i="19" s="1"/>
  <c r="J33" i="19"/>
  <c r="C33" i="19"/>
  <c r="D33" i="19" s="1"/>
  <c r="K38" i="18"/>
  <c r="H9" i="19"/>
  <c r="K38" i="19" s="1"/>
  <c r="B44" i="19"/>
  <c r="I44" i="19"/>
  <c r="L36" i="18"/>
  <c r="J7" i="19"/>
  <c r="L36" i="19" s="1"/>
  <c r="K36" i="18"/>
  <c r="H7" i="19"/>
  <c r="K36" i="19" s="1"/>
  <c r="I49" i="19"/>
  <c r="B49" i="19"/>
  <c r="L45" i="18"/>
  <c r="J16" i="19"/>
  <c r="L45" i="19" s="1"/>
  <c r="C48" i="19"/>
  <c r="D48" i="19" s="1"/>
  <c r="J48" i="19"/>
  <c r="M48" i="19" s="1"/>
  <c r="L42" i="18"/>
  <c r="J13" i="19"/>
  <c r="L42" i="19" s="1"/>
  <c r="L49" i="18"/>
  <c r="J20" i="19"/>
  <c r="L49" i="19" s="1"/>
  <c r="C49" i="19"/>
  <c r="J49" i="19"/>
  <c r="K45" i="18"/>
  <c r="H16" i="19"/>
  <c r="K45" i="19" s="1"/>
  <c r="K39" i="18"/>
  <c r="H10" i="19"/>
  <c r="K39" i="19" s="1"/>
  <c r="I41" i="19"/>
  <c r="L37" i="18"/>
  <c r="J8" i="19"/>
  <c r="L37" i="19" s="1"/>
  <c r="I39" i="19"/>
  <c r="B39" i="19"/>
  <c r="J36" i="19"/>
  <c r="C36" i="19"/>
  <c r="J37" i="19"/>
  <c r="C37" i="19"/>
  <c r="D37" i="19" s="1"/>
  <c r="K43" i="18"/>
  <c r="H14" i="19"/>
  <c r="K43" i="19" s="1"/>
  <c r="F42" i="19"/>
  <c r="C46" i="19"/>
  <c r="D46" i="19" s="1"/>
  <c r="J46" i="19"/>
  <c r="M46" i="19" s="1"/>
  <c r="K44" i="18"/>
  <c r="H15" i="19"/>
  <c r="K44" i="19" s="1"/>
  <c r="D47" i="19"/>
  <c r="E43" i="19"/>
  <c r="F43" i="19"/>
  <c r="W6" i="18"/>
  <c r="X6" i="18" s="1"/>
  <c r="S6" i="18"/>
  <c r="Q37" i="14"/>
  <c r="P37" i="14"/>
  <c r="O37" i="14"/>
  <c r="M45" i="17"/>
  <c r="N45" i="17" s="1"/>
  <c r="M45" i="18"/>
  <c r="O45" i="18" s="1"/>
  <c r="F39" i="14"/>
  <c r="D47" i="18"/>
  <c r="F47" i="18" s="1"/>
  <c r="M48" i="17"/>
  <c r="P48" i="17" s="1"/>
  <c r="F49" i="14"/>
  <c r="Q40" i="9"/>
  <c r="M38" i="17"/>
  <c r="P38" i="17" s="1"/>
  <c r="N39" i="9"/>
  <c r="P39" i="9"/>
  <c r="O39" i="9"/>
  <c r="M37" i="17"/>
  <c r="O37" i="17" s="1"/>
  <c r="N40" i="9"/>
  <c r="Q41" i="14"/>
  <c r="O41" i="14"/>
  <c r="P41" i="14"/>
  <c r="N41" i="14"/>
  <c r="E46" i="17"/>
  <c r="F46" i="17"/>
  <c r="Q43" i="14"/>
  <c r="P43" i="14"/>
  <c r="O43" i="14"/>
  <c r="N43" i="14"/>
  <c r="E37" i="17"/>
  <c r="F37" i="17"/>
  <c r="E48" i="17"/>
  <c r="F48" i="17"/>
  <c r="R23" i="7"/>
  <c r="R16" i="7"/>
  <c r="K34" i="9"/>
  <c r="H5" i="14"/>
  <c r="R36" i="5"/>
  <c r="E15" i="17"/>
  <c r="J44" i="14"/>
  <c r="C44" i="14"/>
  <c r="D44" i="14" s="1"/>
  <c r="L33" i="9"/>
  <c r="J4" i="14"/>
  <c r="P40" i="9"/>
  <c r="C36" i="18"/>
  <c r="J36" i="18"/>
  <c r="D45" i="18"/>
  <c r="H12" i="18"/>
  <c r="K41" i="17"/>
  <c r="M41" i="17" s="1"/>
  <c r="R49" i="14"/>
  <c r="D42" i="18"/>
  <c r="J18" i="18"/>
  <c r="L47" i="17"/>
  <c r="M47" i="17" s="1"/>
  <c r="M36" i="17"/>
  <c r="T10" i="17"/>
  <c r="R10" i="17"/>
  <c r="S10" i="17" s="1"/>
  <c r="P10" i="18"/>
  <c r="S10" i="20" s="1"/>
  <c r="J6" i="17"/>
  <c r="L35" i="14"/>
  <c r="M35" i="14" s="1"/>
  <c r="C6" i="18"/>
  <c r="C6" i="19" s="1"/>
  <c r="B35" i="17"/>
  <c r="D35" i="17" s="1"/>
  <c r="I35" i="17"/>
  <c r="N48" i="14"/>
  <c r="Q48" i="14"/>
  <c r="P48" i="14"/>
  <c r="O48" i="14"/>
  <c r="I40" i="18"/>
  <c r="B40" i="18"/>
  <c r="D40" i="18" s="1"/>
  <c r="F9" i="14"/>
  <c r="F9" i="17" s="1"/>
  <c r="F9" i="18" s="1"/>
  <c r="P9" i="9"/>
  <c r="D41" i="17"/>
  <c r="B38" i="18"/>
  <c r="D38" i="18" s="1"/>
  <c r="I38" i="18"/>
  <c r="J41" i="18"/>
  <c r="C41" i="18"/>
  <c r="D39" i="17"/>
  <c r="E5" i="18"/>
  <c r="E5" i="19" s="1"/>
  <c r="C34" i="17"/>
  <c r="D34" i="17" s="1"/>
  <c r="J34" i="17"/>
  <c r="T12" i="17"/>
  <c r="R12" i="17"/>
  <c r="S12" i="17" s="1"/>
  <c r="P12" i="18"/>
  <c r="S12" i="20" s="1"/>
  <c r="R18" i="17"/>
  <c r="S18" i="17" s="1"/>
  <c r="P18" i="18"/>
  <c r="S18" i="20" s="1"/>
  <c r="R46" i="14"/>
  <c r="R45" i="14"/>
  <c r="R39" i="7"/>
  <c r="T15" i="17"/>
  <c r="R15" i="17"/>
  <c r="S15" i="17" s="1"/>
  <c r="V15" i="17" s="1"/>
  <c r="P15" i="18"/>
  <c r="M34" i="7"/>
  <c r="T8" i="17"/>
  <c r="R8" i="17"/>
  <c r="S8" i="17" s="1"/>
  <c r="P8" i="18"/>
  <c r="T13" i="17"/>
  <c r="R13" i="17"/>
  <c r="S13" i="17" s="1"/>
  <c r="P13" i="18"/>
  <c r="S13" i="20" s="1"/>
  <c r="L34" i="9"/>
  <c r="J5" i="14"/>
  <c r="F41" i="14"/>
  <c r="E41" i="14"/>
  <c r="R20" i="17"/>
  <c r="S20" i="17" s="1"/>
  <c r="P20" i="18"/>
  <c r="S20" i="20" s="1"/>
  <c r="D36" i="17"/>
  <c r="C49" i="18"/>
  <c r="J49" i="18"/>
  <c r="P36" i="14"/>
  <c r="O36" i="14"/>
  <c r="N36" i="14"/>
  <c r="Q36" i="14"/>
  <c r="M49" i="17"/>
  <c r="T7" i="17"/>
  <c r="R7" i="17"/>
  <c r="S7" i="17" s="1"/>
  <c r="P7" i="18"/>
  <c r="S7" i="20" s="1"/>
  <c r="I41" i="18"/>
  <c r="B41" i="18"/>
  <c r="J14" i="18"/>
  <c r="L43" i="17"/>
  <c r="M43" i="17" s="1"/>
  <c r="F34" i="14"/>
  <c r="E34" i="14"/>
  <c r="P11" i="18"/>
  <c r="S11" i="20" s="1"/>
  <c r="T11" i="17"/>
  <c r="R11" i="17"/>
  <c r="S11" i="17" s="1"/>
  <c r="K33" i="9"/>
  <c r="H4" i="14"/>
  <c r="R19" i="17"/>
  <c r="S19" i="17" s="1"/>
  <c r="P19" i="18"/>
  <c r="S19" i="20" s="1"/>
  <c r="H11" i="17"/>
  <c r="K40" i="14"/>
  <c r="M40" i="14" s="1"/>
  <c r="B44" i="18"/>
  <c r="I44" i="18"/>
  <c r="J11" i="18"/>
  <c r="L40" i="17"/>
  <c r="N38" i="14"/>
  <c r="Q38" i="14"/>
  <c r="P38" i="14"/>
  <c r="O38" i="14"/>
  <c r="B36" i="18"/>
  <c r="I36" i="18"/>
  <c r="F43" i="17"/>
  <c r="E43" i="17"/>
  <c r="E35" i="14"/>
  <c r="F35" i="14"/>
  <c r="E47" i="17"/>
  <c r="F47" i="17"/>
  <c r="E33" i="17"/>
  <c r="F33" i="17"/>
  <c r="Q42" i="14"/>
  <c r="O42" i="14"/>
  <c r="P42" i="14"/>
  <c r="N42" i="14"/>
  <c r="J33" i="18"/>
  <c r="C33" i="18"/>
  <c r="D33" i="18" s="1"/>
  <c r="I39" i="18"/>
  <c r="B39" i="18"/>
  <c r="J10" i="17"/>
  <c r="L39" i="14"/>
  <c r="M39" i="14" s="1"/>
  <c r="R16" i="17"/>
  <c r="S16" i="17" s="1"/>
  <c r="P16" i="18"/>
  <c r="S16" i="20" s="1"/>
  <c r="L44" i="9"/>
  <c r="M44" i="9" s="1"/>
  <c r="P44" i="9" s="1"/>
  <c r="J15" i="14"/>
  <c r="C37" i="18"/>
  <c r="D37" i="18" s="1"/>
  <c r="J37" i="18"/>
  <c r="M37" i="18" s="1"/>
  <c r="C46" i="18"/>
  <c r="D46" i="18" s="1"/>
  <c r="J46" i="18"/>
  <c r="M46" i="18" s="1"/>
  <c r="Q47" i="14"/>
  <c r="P47" i="14"/>
  <c r="N47" i="14"/>
  <c r="O47" i="14"/>
  <c r="J48" i="18"/>
  <c r="C48" i="18"/>
  <c r="D48" i="18" s="1"/>
  <c r="Q46" i="17"/>
  <c r="N46" i="17"/>
  <c r="P46" i="17"/>
  <c r="O46" i="17"/>
  <c r="B43" i="18"/>
  <c r="D43" i="18" s="1"/>
  <c r="I43" i="18"/>
  <c r="C39" i="18"/>
  <c r="J39" i="18"/>
  <c r="T14" i="17"/>
  <c r="R14" i="17"/>
  <c r="S14" i="17" s="1"/>
  <c r="P14" i="18"/>
  <c r="S14" i="20" s="1"/>
  <c r="D49" i="17"/>
  <c r="E40" i="17"/>
  <c r="F40" i="17"/>
  <c r="I49" i="18"/>
  <c r="B49" i="18"/>
  <c r="R17" i="17"/>
  <c r="S17" i="17" s="1"/>
  <c r="P17" i="18"/>
  <c r="S17" i="20" s="1"/>
  <c r="H13" i="18"/>
  <c r="K42" i="17"/>
  <c r="M42" i="17" s="1"/>
  <c r="E38" i="17"/>
  <c r="F38" i="17"/>
  <c r="P35" i="9"/>
  <c r="Q39" i="9"/>
  <c r="O35" i="9"/>
  <c r="Q35" i="9"/>
  <c r="R51" i="9"/>
  <c r="P34" i="7"/>
  <c r="N34" i="7"/>
  <c r="O34" i="7"/>
  <c r="Q34" i="7"/>
  <c r="R9" i="7"/>
  <c r="R5" i="7"/>
  <c r="M44" i="7"/>
  <c r="O44" i="7" s="1"/>
  <c r="P4" i="9"/>
  <c r="P4" i="14" s="1"/>
  <c r="P4" i="17" s="1"/>
  <c r="O35" i="7"/>
  <c r="N35" i="7"/>
  <c r="P35" i="7"/>
  <c r="Q35" i="7"/>
  <c r="P5" i="9"/>
  <c r="P5" i="14" s="1"/>
  <c r="P5" i="17" s="1"/>
  <c r="R19" i="7"/>
  <c r="R15" i="7"/>
  <c r="P33" i="7"/>
  <c r="R47" i="9"/>
  <c r="R50" i="9"/>
  <c r="R37" i="9"/>
  <c r="R52" i="9"/>
  <c r="R45" i="9"/>
  <c r="R36" i="9"/>
  <c r="R49" i="9"/>
  <c r="F44" i="9"/>
  <c r="E44" i="9"/>
  <c r="R48" i="9"/>
  <c r="Q4" i="7"/>
  <c r="Q4" i="9" s="1"/>
  <c r="Q4" i="14" s="1"/>
  <c r="Q4" i="17" s="1"/>
  <c r="Q4" i="20" s="1"/>
  <c r="S11" i="7"/>
  <c r="Q5" i="7"/>
  <c r="Q5" i="9" s="1"/>
  <c r="Q5" i="14" s="1"/>
  <c r="Q5" i="17" s="1"/>
  <c r="Q5" i="20" s="1"/>
  <c r="R42" i="9"/>
  <c r="R43" i="9"/>
  <c r="R41" i="9"/>
  <c r="S21" i="7"/>
  <c r="R38" i="9"/>
  <c r="R46" i="9"/>
  <c r="R36" i="7"/>
  <c r="R12" i="7"/>
  <c r="P44" i="7"/>
  <c r="S6" i="7"/>
  <c r="R17" i="7"/>
  <c r="R34" i="5"/>
  <c r="R44" i="5"/>
  <c r="S13" i="7"/>
  <c r="P4" i="5"/>
  <c r="B33" i="5"/>
  <c r="D33" i="5" s="1"/>
  <c r="I33" i="5"/>
  <c r="M33" i="5" s="1"/>
  <c r="Q33" i="7" l="1"/>
  <c r="N33" i="7"/>
  <c r="O33" i="7"/>
  <c r="M38" i="18"/>
  <c r="R33" i="7"/>
  <c r="P6" i="19"/>
  <c r="W6" i="19" s="1"/>
  <c r="X6" i="19" s="1"/>
  <c r="P8" i="19"/>
  <c r="F9" i="19"/>
  <c r="M37" i="19"/>
  <c r="N37" i="19" s="1"/>
  <c r="D39" i="19"/>
  <c r="E39" i="19" s="1"/>
  <c r="M45" i="19"/>
  <c r="Q45" i="19" s="1"/>
  <c r="D36" i="19"/>
  <c r="F36" i="19" s="1"/>
  <c r="S17" i="18"/>
  <c r="P17" i="19"/>
  <c r="S17" i="19" s="1"/>
  <c r="S11" i="18"/>
  <c r="P11" i="19"/>
  <c r="S11" i="19" s="1"/>
  <c r="S13" i="18"/>
  <c r="P13" i="19"/>
  <c r="S13" i="19" s="1"/>
  <c r="S10" i="18"/>
  <c r="P10" i="19"/>
  <c r="S10" i="19" s="1"/>
  <c r="S18" i="18"/>
  <c r="P18" i="19"/>
  <c r="S18" i="19" s="1"/>
  <c r="S16" i="18"/>
  <c r="P16" i="19"/>
  <c r="S16" i="19" s="1"/>
  <c r="S19" i="18"/>
  <c r="P19" i="19"/>
  <c r="S19" i="19" s="1"/>
  <c r="S20" i="18"/>
  <c r="P20" i="19"/>
  <c r="S20" i="19" s="1"/>
  <c r="S14" i="18"/>
  <c r="P14" i="19"/>
  <c r="S14" i="19" s="1"/>
  <c r="M48" i="18"/>
  <c r="N48" i="18" s="1"/>
  <c r="S7" i="18"/>
  <c r="P7" i="19"/>
  <c r="S7" i="19" s="1"/>
  <c r="M34" i="9"/>
  <c r="Q34" i="9" s="1"/>
  <c r="S15" i="18"/>
  <c r="P15" i="19"/>
  <c r="S15" i="19" s="1"/>
  <c r="S12" i="18"/>
  <c r="P12" i="19"/>
  <c r="S12" i="19" s="1"/>
  <c r="P9" i="14"/>
  <c r="P9" i="17" s="1"/>
  <c r="M33" i="9"/>
  <c r="P37" i="19"/>
  <c r="Q37" i="19"/>
  <c r="O37" i="19"/>
  <c r="O45" i="19"/>
  <c r="N45" i="19"/>
  <c r="N46" i="19"/>
  <c r="P46" i="19"/>
  <c r="O46" i="19"/>
  <c r="Q46" i="19"/>
  <c r="F48" i="19"/>
  <c r="E48" i="19"/>
  <c r="F39" i="19"/>
  <c r="L43" i="18"/>
  <c r="M43" i="18" s="1"/>
  <c r="O43" i="18" s="1"/>
  <c r="J14" i="19"/>
  <c r="L43" i="19" s="1"/>
  <c r="M43" i="19" s="1"/>
  <c r="J34" i="19"/>
  <c r="C34" i="19"/>
  <c r="D34" i="19" s="1"/>
  <c r="E46" i="19"/>
  <c r="F46" i="19"/>
  <c r="D49" i="19"/>
  <c r="M38" i="19"/>
  <c r="E40" i="19"/>
  <c r="F40" i="19"/>
  <c r="M36" i="19"/>
  <c r="L40" i="18"/>
  <c r="J11" i="19"/>
  <c r="L40" i="19" s="1"/>
  <c r="B35" i="19"/>
  <c r="D35" i="19" s="1"/>
  <c r="I35" i="19"/>
  <c r="L47" i="18"/>
  <c r="M47" i="18" s="1"/>
  <c r="P47" i="18" s="1"/>
  <c r="J18" i="19"/>
  <c r="L47" i="19" s="1"/>
  <c r="M47" i="19" s="1"/>
  <c r="K41" i="18"/>
  <c r="M41" i="18" s="1"/>
  <c r="P41" i="18" s="1"/>
  <c r="H12" i="19"/>
  <c r="K41" i="19" s="1"/>
  <c r="M41" i="19" s="1"/>
  <c r="M49" i="19"/>
  <c r="E33" i="19"/>
  <c r="F33" i="19"/>
  <c r="Q4" i="18"/>
  <c r="Q4" i="19"/>
  <c r="K42" i="18"/>
  <c r="M42" i="18" s="1"/>
  <c r="N42" i="18" s="1"/>
  <c r="H13" i="19"/>
  <c r="K42" i="19" s="1"/>
  <c r="M42" i="19" s="1"/>
  <c r="E37" i="19"/>
  <c r="F37" i="19"/>
  <c r="E41" i="19"/>
  <c r="E54" i="19" s="1"/>
  <c r="F41" i="19"/>
  <c r="F54" i="19" s="1"/>
  <c r="N48" i="19"/>
  <c r="P48" i="19"/>
  <c r="O48" i="19"/>
  <c r="Q48" i="19"/>
  <c r="F38" i="19"/>
  <c r="E38" i="19"/>
  <c r="Q5" i="18"/>
  <c r="Q5" i="19"/>
  <c r="P5" i="18"/>
  <c r="S5" i="20" s="1"/>
  <c r="P4" i="18"/>
  <c r="F47" i="19"/>
  <c r="E47" i="19"/>
  <c r="W8" i="18"/>
  <c r="X8" i="18" s="1"/>
  <c r="S8" i="18"/>
  <c r="R37" i="14"/>
  <c r="E47" i="18"/>
  <c r="O45" i="17"/>
  <c r="N38" i="17"/>
  <c r="P45" i="17"/>
  <c r="N45" i="18"/>
  <c r="Q45" i="17"/>
  <c r="Q45" i="18"/>
  <c r="Q48" i="17"/>
  <c r="O48" i="17"/>
  <c r="P45" i="18"/>
  <c r="O38" i="17"/>
  <c r="Q38" i="17"/>
  <c r="N48" i="17"/>
  <c r="M36" i="18"/>
  <c r="P36" i="18" s="1"/>
  <c r="P37" i="17"/>
  <c r="R40" i="9"/>
  <c r="R39" i="9"/>
  <c r="R38" i="14"/>
  <c r="D49" i="18"/>
  <c r="F49" i="18" s="1"/>
  <c r="R43" i="14"/>
  <c r="Q37" i="17"/>
  <c r="R46" i="17"/>
  <c r="N37" i="17"/>
  <c r="D36" i="18"/>
  <c r="F36" i="18" s="1"/>
  <c r="D41" i="18"/>
  <c r="E41" i="18" s="1"/>
  <c r="E54" i="18" s="1"/>
  <c r="E33" i="18"/>
  <c r="F33" i="18"/>
  <c r="O42" i="18"/>
  <c r="E46" i="18"/>
  <c r="F46" i="18"/>
  <c r="N43" i="17"/>
  <c r="P43" i="17"/>
  <c r="O43" i="17"/>
  <c r="Q43" i="17"/>
  <c r="N37" i="18"/>
  <c r="P37" i="18"/>
  <c r="O37" i="18"/>
  <c r="Q37" i="18"/>
  <c r="E37" i="18"/>
  <c r="F37" i="18"/>
  <c r="O46" i="18"/>
  <c r="Q46" i="18"/>
  <c r="N46" i="18"/>
  <c r="P46" i="18"/>
  <c r="N42" i="17"/>
  <c r="P42" i="17"/>
  <c r="Q42" i="17"/>
  <c r="O42" i="17"/>
  <c r="P48" i="18"/>
  <c r="O48" i="18"/>
  <c r="P39" i="14"/>
  <c r="N39" i="14"/>
  <c r="O39" i="14"/>
  <c r="Q39" i="14"/>
  <c r="N40" i="14"/>
  <c r="Q40" i="14"/>
  <c r="P40" i="14"/>
  <c r="O40" i="14"/>
  <c r="R34" i="7"/>
  <c r="M49" i="18"/>
  <c r="Q35" i="14"/>
  <c r="P35" i="14"/>
  <c r="O35" i="14"/>
  <c r="N35" i="14"/>
  <c r="R47" i="14"/>
  <c r="L39" i="17"/>
  <c r="M39" i="17" s="1"/>
  <c r="J10" i="18"/>
  <c r="R42" i="14"/>
  <c r="H11" i="18"/>
  <c r="K40" i="17"/>
  <c r="M40" i="17" s="1"/>
  <c r="E36" i="17"/>
  <c r="F36" i="17"/>
  <c r="F41" i="17"/>
  <c r="E41" i="17"/>
  <c r="F57" i="17" s="1"/>
  <c r="P47" i="17"/>
  <c r="O47" i="17"/>
  <c r="N47" i="17"/>
  <c r="Q47" i="17"/>
  <c r="N41" i="17"/>
  <c r="Q41" i="17"/>
  <c r="P41" i="17"/>
  <c r="O41" i="17"/>
  <c r="F48" i="18"/>
  <c r="E48" i="18"/>
  <c r="F43" i="18"/>
  <c r="E43" i="18"/>
  <c r="D39" i="18"/>
  <c r="F34" i="17"/>
  <c r="E34" i="17"/>
  <c r="R48" i="14"/>
  <c r="J6" i="18"/>
  <c r="L35" i="17"/>
  <c r="M35" i="17" s="1"/>
  <c r="F44" i="14"/>
  <c r="E44" i="14"/>
  <c r="H5" i="17"/>
  <c r="K34" i="14"/>
  <c r="J15" i="17"/>
  <c r="L44" i="14"/>
  <c r="M44" i="14" s="1"/>
  <c r="O47" i="18"/>
  <c r="H4" i="17"/>
  <c r="K33" i="14"/>
  <c r="C34" i="18"/>
  <c r="D34" i="18" s="1"/>
  <c r="J34" i="18"/>
  <c r="O38" i="18"/>
  <c r="Q38" i="18"/>
  <c r="P38" i="18"/>
  <c r="N38" i="18"/>
  <c r="E35" i="17"/>
  <c r="F35" i="17"/>
  <c r="Q36" i="17"/>
  <c r="P36" i="17"/>
  <c r="O36" i="17"/>
  <c r="N36" i="17"/>
  <c r="R41" i="14"/>
  <c r="Q44" i="7"/>
  <c r="R44" i="7" s="1"/>
  <c r="N44" i="7"/>
  <c r="E49" i="17"/>
  <c r="F49" i="17"/>
  <c r="P49" i="17"/>
  <c r="Q49" i="17"/>
  <c r="O49" i="17"/>
  <c r="N49" i="17"/>
  <c r="R36" i="14"/>
  <c r="L34" i="14"/>
  <c r="J5" i="17"/>
  <c r="E39" i="17"/>
  <c r="F39" i="17"/>
  <c r="E38" i="18"/>
  <c r="F38" i="18"/>
  <c r="F40" i="18"/>
  <c r="E40" i="18"/>
  <c r="B35" i="18"/>
  <c r="D35" i="18" s="1"/>
  <c r="I35" i="18"/>
  <c r="E42" i="18"/>
  <c r="F42" i="18"/>
  <c r="F45" i="18"/>
  <c r="E45" i="18"/>
  <c r="L33" i="14"/>
  <c r="J4" i="17"/>
  <c r="E15" i="18"/>
  <c r="E15" i="19" s="1"/>
  <c r="C44" i="17"/>
  <c r="D44" i="17" s="1"/>
  <c r="J44" i="17"/>
  <c r="R35" i="9"/>
  <c r="N44" i="9"/>
  <c r="O44" i="9"/>
  <c r="Q44" i="9"/>
  <c r="O34" i="9"/>
  <c r="P34" i="9"/>
  <c r="N34" i="9"/>
  <c r="O33" i="9"/>
  <c r="P33" i="9"/>
  <c r="Q33" i="9"/>
  <c r="N33" i="9"/>
  <c r="R35" i="7"/>
  <c r="S4" i="5"/>
  <c r="R4" i="7"/>
  <c r="E33" i="5"/>
  <c r="F33" i="5"/>
  <c r="P33" i="5"/>
  <c r="O33" i="5"/>
  <c r="N33" i="5"/>
  <c r="Q33" i="5"/>
  <c r="S6" i="19" l="1"/>
  <c r="P45" i="19"/>
  <c r="S8" i="20"/>
  <c r="W8" i="20"/>
  <c r="X8" i="20" s="1"/>
  <c r="W8" i="19"/>
  <c r="X8" i="19" s="1"/>
  <c r="S8" i="19"/>
  <c r="S6" i="20"/>
  <c r="W6" i="20"/>
  <c r="X6" i="20" s="1"/>
  <c r="P42" i="18"/>
  <c r="E36" i="19"/>
  <c r="R45" i="19"/>
  <c r="T9" i="17"/>
  <c r="R9" i="17"/>
  <c r="S9" i="17" s="1"/>
  <c r="P9" i="18"/>
  <c r="S9" i="20" s="1"/>
  <c r="Q47" i="18"/>
  <c r="S4" i="18"/>
  <c r="P4" i="19"/>
  <c r="S4" i="19" s="1"/>
  <c r="N47" i="18"/>
  <c r="Q48" i="18"/>
  <c r="Q42" i="18"/>
  <c r="R42" i="18" s="1"/>
  <c r="S5" i="18"/>
  <c r="P5" i="19"/>
  <c r="S5" i="19" s="1"/>
  <c r="R37" i="19"/>
  <c r="P41" i="19"/>
  <c r="O41" i="19"/>
  <c r="N41" i="19"/>
  <c r="Q41" i="19"/>
  <c r="C44" i="19"/>
  <c r="D44" i="19" s="1"/>
  <c r="J44" i="19"/>
  <c r="O47" i="19"/>
  <c r="N47" i="19"/>
  <c r="Q47" i="19"/>
  <c r="P47" i="19"/>
  <c r="O42" i="19"/>
  <c r="P42" i="19"/>
  <c r="N42" i="19"/>
  <c r="Q42" i="19"/>
  <c r="N49" i="19"/>
  <c r="Q49" i="19"/>
  <c r="P49" i="19"/>
  <c r="O49" i="19"/>
  <c r="P38" i="19"/>
  <c r="Q38" i="19"/>
  <c r="O38" i="19"/>
  <c r="N38" i="19"/>
  <c r="Q43" i="19"/>
  <c r="N43" i="19"/>
  <c r="P43" i="19"/>
  <c r="O43" i="19"/>
  <c r="L39" i="18"/>
  <c r="M39" i="18" s="1"/>
  <c r="Q39" i="18" s="1"/>
  <c r="J10" i="19"/>
  <c r="L39" i="19" s="1"/>
  <c r="M39" i="19" s="1"/>
  <c r="F35" i="19"/>
  <c r="E35" i="19"/>
  <c r="F34" i="19"/>
  <c r="E34" i="19"/>
  <c r="L35" i="18"/>
  <c r="J6" i="19"/>
  <c r="L35" i="19" s="1"/>
  <c r="M35" i="19" s="1"/>
  <c r="R46" i="19"/>
  <c r="K40" i="18"/>
  <c r="M40" i="18" s="1"/>
  <c r="O40" i="18" s="1"/>
  <c r="H11" i="19"/>
  <c r="K40" i="19" s="1"/>
  <c r="M40" i="19" s="1"/>
  <c r="R48" i="19"/>
  <c r="Q36" i="19"/>
  <c r="P36" i="19"/>
  <c r="O36" i="19"/>
  <c r="N36" i="19"/>
  <c r="E49" i="19"/>
  <c r="F49" i="19"/>
  <c r="R37" i="17"/>
  <c r="R45" i="18"/>
  <c r="N36" i="18"/>
  <c r="N43" i="18"/>
  <c r="R38" i="17"/>
  <c r="R45" i="17"/>
  <c r="R48" i="17"/>
  <c r="O36" i="18"/>
  <c r="P43" i="18"/>
  <c r="Q36" i="18"/>
  <c r="Q43" i="18"/>
  <c r="N41" i="18"/>
  <c r="O41" i="18"/>
  <c r="F41" i="18"/>
  <c r="F54" i="18" s="1"/>
  <c r="E49" i="18"/>
  <c r="Q41" i="18"/>
  <c r="R42" i="17"/>
  <c r="E36" i="18"/>
  <c r="R47" i="18"/>
  <c r="R36" i="17"/>
  <c r="R39" i="14"/>
  <c r="R48" i="18"/>
  <c r="R46" i="18"/>
  <c r="R37" i="18"/>
  <c r="R43" i="17"/>
  <c r="P44" i="14"/>
  <c r="O44" i="14"/>
  <c r="Q44" i="14"/>
  <c r="N44" i="14"/>
  <c r="N35" i="17"/>
  <c r="O35" i="17"/>
  <c r="P35" i="17"/>
  <c r="Q35" i="17"/>
  <c r="Q40" i="18"/>
  <c r="P40" i="18"/>
  <c r="N40" i="18"/>
  <c r="F44" i="17"/>
  <c r="E44" i="17"/>
  <c r="M35" i="18"/>
  <c r="J5" i="18"/>
  <c r="L34" i="17"/>
  <c r="R49" i="17"/>
  <c r="R38" i="18"/>
  <c r="E34" i="18"/>
  <c r="F34" i="18"/>
  <c r="H4" i="18"/>
  <c r="K33" i="17"/>
  <c r="R40" i="14"/>
  <c r="E35" i="18"/>
  <c r="F35" i="18"/>
  <c r="M34" i="14"/>
  <c r="R47" i="17"/>
  <c r="F60" i="17"/>
  <c r="F58" i="17"/>
  <c r="F59" i="17" s="1"/>
  <c r="Q40" i="17"/>
  <c r="N40" i="17"/>
  <c r="P40" i="17"/>
  <c r="O40" i="17"/>
  <c r="J44" i="18"/>
  <c r="C44" i="18"/>
  <c r="D44" i="18" s="1"/>
  <c r="L44" i="17"/>
  <c r="M44" i="17" s="1"/>
  <c r="J15" i="18"/>
  <c r="H5" i="18"/>
  <c r="K34" i="17"/>
  <c r="F39" i="18"/>
  <c r="E39" i="18"/>
  <c r="O39" i="17"/>
  <c r="N39" i="17"/>
  <c r="P39" i="17"/>
  <c r="Q39" i="17"/>
  <c r="N49" i="18"/>
  <c r="O49" i="18"/>
  <c r="Q49" i="18"/>
  <c r="P49" i="18"/>
  <c r="J4" i="18"/>
  <c r="L33" i="17"/>
  <c r="M33" i="14"/>
  <c r="R41" i="17"/>
  <c r="R35" i="14"/>
  <c r="R44" i="9"/>
  <c r="R34" i="9"/>
  <c r="R33" i="9"/>
  <c r="R33" i="5"/>
  <c r="P39" i="18" l="1"/>
  <c r="R36" i="19"/>
  <c r="R42" i="19"/>
  <c r="R49" i="19"/>
  <c r="S9" i="18"/>
  <c r="P9" i="19"/>
  <c r="S9" i="19" s="1"/>
  <c r="L34" i="18"/>
  <c r="J5" i="19"/>
  <c r="L34" i="19" s="1"/>
  <c r="N39" i="18"/>
  <c r="R43" i="19"/>
  <c r="R47" i="19"/>
  <c r="L33" i="18"/>
  <c r="J4" i="19"/>
  <c r="L33" i="19" s="1"/>
  <c r="K34" i="18"/>
  <c r="H5" i="19"/>
  <c r="K34" i="19" s="1"/>
  <c r="L44" i="18"/>
  <c r="M44" i="18" s="1"/>
  <c r="J15" i="19"/>
  <c r="L44" i="19" s="1"/>
  <c r="M44" i="19" s="1"/>
  <c r="O39" i="18"/>
  <c r="R39" i="18" s="1"/>
  <c r="Q40" i="19"/>
  <c r="P40" i="19"/>
  <c r="O40" i="19"/>
  <c r="N40" i="19"/>
  <c r="R38" i="19"/>
  <c r="R41" i="19"/>
  <c r="Q35" i="19"/>
  <c r="P35" i="19"/>
  <c r="O35" i="19"/>
  <c r="N35" i="19"/>
  <c r="K33" i="18"/>
  <c r="H4" i="19"/>
  <c r="K33" i="19" s="1"/>
  <c r="P39" i="19"/>
  <c r="N39" i="19"/>
  <c r="O39" i="19"/>
  <c r="Q39" i="19"/>
  <c r="F44" i="19"/>
  <c r="E44" i="19"/>
  <c r="R41" i="18"/>
  <c r="R36" i="18"/>
  <c r="R43" i="18"/>
  <c r="M34" i="17"/>
  <c r="P34" i="17" s="1"/>
  <c r="R35" i="17"/>
  <c r="R44" i="14"/>
  <c r="N44" i="17"/>
  <c r="Q44" i="17"/>
  <c r="O44" i="17"/>
  <c r="P44" i="17"/>
  <c r="N33" i="14"/>
  <c r="P33" i="14"/>
  <c r="Q33" i="14"/>
  <c r="O33" i="14"/>
  <c r="R49" i="18"/>
  <c r="R39" i="17"/>
  <c r="O34" i="14"/>
  <c r="P34" i="14"/>
  <c r="Q34" i="14"/>
  <c r="N34" i="14"/>
  <c r="R40" i="17"/>
  <c r="R40" i="18"/>
  <c r="F61" i="17"/>
  <c r="F64" i="17" s="1"/>
  <c r="F68" i="17" s="1"/>
  <c r="F44" i="18"/>
  <c r="E44" i="18"/>
  <c r="M33" i="17"/>
  <c r="O35" i="18"/>
  <c r="Q35" i="18"/>
  <c r="N35" i="18"/>
  <c r="P35" i="18"/>
  <c r="M34" i="18" l="1"/>
  <c r="O34" i="18" s="1"/>
  <c r="O44" i="18"/>
  <c r="N44" i="18"/>
  <c r="R39" i="19"/>
  <c r="M33" i="18"/>
  <c r="O33" i="18" s="1"/>
  <c r="R40" i="19"/>
  <c r="O44" i="19"/>
  <c r="Q44" i="19"/>
  <c r="P44" i="19"/>
  <c r="N44" i="19"/>
  <c r="R35" i="19"/>
  <c r="M33" i="19"/>
  <c r="M34" i="19"/>
  <c r="N34" i="18"/>
  <c r="P34" i="18"/>
  <c r="O34" i="17"/>
  <c r="N34" i="17"/>
  <c r="Q34" i="17"/>
  <c r="Q34" i="18"/>
  <c r="Q44" i="18"/>
  <c r="P44" i="18"/>
  <c r="Q33" i="17"/>
  <c r="N33" i="17"/>
  <c r="O33" i="17"/>
  <c r="P33" i="17"/>
  <c r="R33" i="14"/>
  <c r="R35" i="18"/>
  <c r="R34" i="14"/>
  <c r="R44" i="17"/>
  <c r="Q33" i="18" l="1"/>
  <c r="N33" i="18"/>
  <c r="P33" i="18"/>
  <c r="Q34" i="19"/>
  <c r="N34" i="19"/>
  <c r="P34" i="19"/>
  <c r="O34" i="19"/>
  <c r="Q33" i="19"/>
  <c r="P33" i="19"/>
  <c r="O33" i="19"/>
  <c r="N33" i="19"/>
  <c r="R34" i="17"/>
  <c r="R44" i="19"/>
  <c r="R34" i="18"/>
  <c r="R44" i="18"/>
  <c r="R33" i="18"/>
  <c r="R33" i="17"/>
  <c r="R33" i="19" l="1"/>
  <c r="R3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Gacitúa</author>
  </authors>
  <commentList>
    <comment ref="A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Marcos Gacitúa:</t>
        </r>
        <r>
          <rPr>
            <sz val="8"/>
            <color indexed="81"/>
            <rFont val="Tahoma"/>
            <family val="2"/>
          </rPr>
          <t xml:space="preserve">
Incluye reajuste 6% a Dic.2014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Gacitúa</author>
  </authors>
  <commentList>
    <comment ref="A2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Marcos Gacitúa:</t>
        </r>
        <r>
          <rPr>
            <sz val="8"/>
            <color indexed="81"/>
            <rFont val="Tahoma"/>
            <family val="2"/>
          </rPr>
          <t xml:space="preserve">
Incluye reajuste 6% a Dic.2014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Olivero</author>
  </authors>
  <commentList>
    <comment ref="F3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>César Olivero:</t>
        </r>
        <r>
          <rPr>
            <sz val="9"/>
            <color indexed="81"/>
            <rFont val="Tahoma"/>
            <charset val="1"/>
          </rPr>
          <t xml:space="preserve">
A</t>
        </r>
        <r>
          <rPr>
            <b/>
            <sz val="9"/>
            <color indexed="81"/>
            <rFont val="Tahoma"/>
            <family val="2"/>
          </rPr>
          <t xml:space="preserve">sig. Por Zona= </t>
        </r>
        <r>
          <rPr>
            <sz val="9"/>
            <color indexed="81"/>
            <rFont val="Tahoma"/>
            <charset val="1"/>
          </rPr>
          <t xml:space="preserve">20% de S. Base
</t>
        </r>
        <r>
          <rPr>
            <b/>
            <sz val="9"/>
            <color indexed="81"/>
            <rFont val="Tahoma"/>
            <family val="2"/>
          </rPr>
          <t>L. 19354 Zona=</t>
        </r>
        <r>
          <rPr>
            <sz val="9"/>
            <color indexed="81"/>
            <rFont val="Tahoma"/>
            <charset val="1"/>
          </rPr>
          <t xml:space="preserve">
40% de Asig. Por Zona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Olivero</author>
  </authors>
  <commentList>
    <comment ref="F3" authorId="0" shapeId="0" xr:uid="{00000000-0006-0000-0A00-000001000000}">
      <text>
        <r>
          <rPr>
            <b/>
            <sz val="9"/>
            <color indexed="81"/>
            <rFont val="Tahoma"/>
            <charset val="1"/>
          </rPr>
          <t>César Olivero:</t>
        </r>
        <r>
          <rPr>
            <sz val="9"/>
            <color indexed="81"/>
            <rFont val="Tahoma"/>
            <charset val="1"/>
          </rPr>
          <t xml:space="preserve">
A</t>
        </r>
        <r>
          <rPr>
            <b/>
            <sz val="9"/>
            <color indexed="81"/>
            <rFont val="Tahoma"/>
            <family val="2"/>
          </rPr>
          <t xml:space="preserve">sig. Por Zona= </t>
        </r>
        <r>
          <rPr>
            <sz val="9"/>
            <color indexed="81"/>
            <rFont val="Tahoma"/>
            <charset val="1"/>
          </rPr>
          <t xml:space="preserve">20% de S. Base
</t>
        </r>
        <r>
          <rPr>
            <b/>
            <sz val="9"/>
            <color indexed="81"/>
            <rFont val="Tahoma"/>
            <family val="2"/>
          </rPr>
          <t>L. 19354 Zona=</t>
        </r>
        <r>
          <rPr>
            <sz val="9"/>
            <color indexed="81"/>
            <rFont val="Tahoma"/>
            <charset val="1"/>
          </rPr>
          <t xml:space="preserve">
40% de Asig. Por Zona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César Olivero</author>
  </authors>
  <commentList>
    <comment ref="F3" authorId="0" shapeId="0" xr:uid="{00000000-0006-0000-0B00-000001000000}">
      <text>
        <r>
          <rPr>
            <b/>
            <sz val="9"/>
            <color indexed="81"/>
            <rFont val="Tahoma"/>
            <charset val="1"/>
          </rPr>
          <t>César Olivero:</t>
        </r>
        <r>
          <rPr>
            <sz val="9"/>
            <color indexed="81"/>
            <rFont val="Tahoma"/>
            <charset val="1"/>
          </rPr>
          <t xml:space="preserve">
A</t>
        </r>
        <r>
          <rPr>
            <b/>
            <sz val="9"/>
            <color indexed="81"/>
            <rFont val="Tahoma"/>
            <family val="2"/>
          </rPr>
          <t xml:space="preserve">sig. Por Zona= </t>
        </r>
        <r>
          <rPr>
            <sz val="9"/>
            <color indexed="81"/>
            <rFont val="Tahoma"/>
            <charset val="1"/>
          </rPr>
          <t xml:space="preserve">20% de S. Base
</t>
        </r>
        <r>
          <rPr>
            <b/>
            <sz val="9"/>
            <color indexed="81"/>
            <rFont val="Tahoma"/>
            <family val="2"/>
          </rPr>
          <t>L. 19354 Zona=</t>
        </r>
        <r>
          <rPr>
            <sz val="9"/>
            <color indexed="81"/>
            <rFont val="Tahoma"/>
            <charset val="1"/>
          </rPr>
          <t xml:space="preserve">
40% de Asig. Por Zona</t>
        </r>
      </text>
    </comment>
  </commentList>
</comments>
</file>

<file path=xl/sharedStrings.xml><?xml version="1.0" encoding="utf-8"?>
<sst xmlns="http://schemas.openxmlformats.org/spreadsheetml/2006/main" count="302" uniqueCount="97">
  <si>
    <t>ESCALA UNICA DE SUELDOS - VIGENTE DICIEMBRE 2015 - NOVIEMBRE 2016</t>
  </si>
  <si>
    <t>GRADOS</t>
  </si>
  <si>
    <t>SUELDO BASE</t>
  </si>
  <si>
    <t>DL 3501</t>
  </si>
  <si>
    <t>ART. 10 LEY 18675</t>
  </si>
  <si>
    <t>SUELDO LEY 18695</t>
  </si>
  <si>
    <t>ASIG.MUNIC. LEY 18695</t>
  </si>
  <si>
    <t>LEY 20008 JUECES</t>
  </si>
  <si>
    <t>ART. 5 LEY 20008 JUECES</t>
  </si>
  <si>
    <t>TOTAL BRUTO</t>
  </si>
  <si>
    <t>Aumento Ley 20649 - Cuota 2015</t>
  </si>
  <si>
    <t>BIENESTAR 3,5% BASE</t>
  </si>
  <si>
    <t>TOTAL AUMENTO REAJ. + HOMOL. 2015</t>
  </si>
  <si>
    <t>HORAS EXTRAS TABLA HOMOLOGADA 2016</t>
  </si>
  <si>
    <t>BONIFICACIÓN IMPONIBLE Y TRIBUTABLE</t>
  </si>
  <si>
    <t xml:space="preserve">GRADO </t>
  </si>
  <si>
    <t xml:space="preserve">SUELDO BASE </t>
  </si>
  <si>
    <t xml:space="preserve">ASIGNACIÓN MUNICIPAL </t>
  </si>
  <si>
    <t xml:space="preserve">VALOR HORA </t>
  </si>
  <si>
    <t>GRADO</t>
  </si>
  <si>
    <t>COMPONENTES BONIFICACIÓN</t>
  </si>
  <si>
    <t>BASE</t>
  </si>
  <si>
    <t>PMG Actual 10%</t>
  </si>
  <si>
    <t xml:space="preserve">NORMAL </t>
  </si>
  <si>
    <t>S. BASE</t>
  </si>
  <si>
    <t>A. MUNIC.</t>
  </si>
  <si>
    <t>L. 18717</t>
  </si>
  <si>
    <t>L. 19529</t>
  </si>
  <si>
    <t>CÁLCULO</t>
  </si>
  <si>
    <t>MENSUAL</t>
  </si>
  <si>
    <t>Gº</t>
  </si>
  <si>
    <t>TRIMESTRAL</t>
  </si>
  <si>
    <t>ANUAL</t>
  </si>
  <si>
    <t>Nº Func.</t>
  </si>
  <si>
    <t>Componente Base</t>
  </si>
  <si>
    <t>Institucional</t>
  </si>
  <si>
    <t>Colectivo</t>
  </si>
  <si>
    <t>TOTAL</t>
  </si>
  <si>
    <t>Aumento</t>
  </si>
  <si>
    <t>ASIG. PROFESIONAL</t>
  </si>
  <si>
    <t>BIENIOS</t>
  </si>
  <si>
    <t>AGREGAR BIENIOS</t>
  </si>
  <si>
    <t>Valor Hora Descto.</t>
  </si>
  <si>
    <t>CANT. HORAS</t>
  </si>
  <si>
    <t>DESCTO. HORAS</t>
  </si>
  <si>
    <t>CANT. DIAS</t>
  </si>
  <si>
    <t>DESCTO. DIAS</t>
  </si>
  <si>
    <t>ASIGNACION PROFESIONAL</t>
  </si>
  <si>
    <t>ASIGNACION DIRECTIVO-JEFATURA</t>
  </si>
  <si>
    <t>ESCALA UNICA DE SUELDOS - VIGENTE DICIEMBRE 2016 - NOVIEMBRE 2017</t>
  </si>
  <si>
    <t>ASIG MUNICIPAL</t>
  </si>
  <si>
    <t xml:space="preserve">ASIG.ZONA </t>
  </si>
  <si>
    <t>Asig Unica Ley 18,717</t>
  </si>
  <si>
    <t>Bonif.Salud Ley 18,566</t>
  </si>
  <si>
    <t>LEY 19529</t>
  </si>
  <si>
    <t>AFP</t>
  </si>
  <si>
    <t>SALUD</t>
  </si>
  <si>
    <t>TRIBUTABLE</t>
  </si>
  <si>
    <t>IMPUESTO</t>
  </si>
  <si>
    <t>TOTAL HABERES</t>
  </si>
  <si>
    <t>CALCULO RETENCION 22%</t>
  </si>
  <si>
    <t>CALCULO RETENCION 24%</t>
  </si>
  <si>
    <t>IMPONIBLE</t>
  </si>
  <si>
    <t>PMG</t>
  </si>
  <si>
    <t>TOTAL ESTIMADO CON PMG 22%</t>
  </si>
  <si>
    <t>TOTAL ESTIMADO CON PMG 24%</t>
  </si>
  <si>
    <t>HORAS EXTRAS TABLA HOMOLOGADA 2017</t>
  </si>
  <si>
    <t xml:space="preserve">ASIG. MUNICIPAL </t>
  </si>
  <si>
    <t>BASE DE CALCULO</t>
  </si>
  <si>
    <t>CALCULO PMG 30,6% TRIMENSTRAL</t>
  </si>
  <si>
    <t>ASIG. DIR. - JEF.</t>
  </si>
  <si>
    <t>ESCALA UNICA DE SUELDOS - VIGENTE DICIEMBRE 2017 - NOVIEMBRE 2018</t>
  </si>
  <si>
    <t>HORAS EXTRAS TABLA HOMOLOGADA 2018</t>
  </si>
  <si>
    <t>ESCALA UNICA DE SUELDOS - VIGENTE DICIEMBRE 2018 - NOVIEMBRE 2019</t>
  </si>
  <si>
    <t>HORAS EXTRAS TABLA HOMOLOGADA 2019</t>
  </si>
  <si>
    <t>ESCALA UNICA DE SUELDOS - VIGENTE DICIEMBRE 2019 - NOVIEMBRE 2020</t>
  </si>
  <si>
    <t>CALCULO PMG 30,6% TRIMESTRAL</t>
  </si>
  <si>
    <t>ESCALA UNICA DE SUELDOS - VIGENTE DICIEMBRE 2020 - NOVIEMBRE 2021</t>
  </si>
  <si>
    <t>HORAS EXTRAS TABLA HOMOLOGADA 2021</t>
  </si>
  <si>
    <t>HORAS EXTRAS TABLA HOMOLOGADA 2022</t>
  </si>
  <si>
    <t>ESCALA UNICA DE SUELDOS - VIGENTE DICIEMBRE 2021 - NOVIEMBRE 2022</t>
  </si>
  <si>
    <t>H44</t>
  </si>
  <si>
    <t>H38</t>
  </si>
  <si>
    <t>H46</t>
  </si>
  <si>
    <t>yoa</t>
  </si>
  <si>
    <t>cole</t>
  </si>
  <si>
    <t>pmg</t>
  </si>
  <si>
    <t>sueldo</t>
  </si>
  <si>
    <t>horas total</t>
  </si>
  <si>
    <t>ESCALA UNICA DE SUELDOS - VIGENTE DICIEMBRE 2022 - NOVIEMBRE 2023</t>
  </si>
  <si>
    <t>HORAS EXTRAS TABLA HOMOLOGADA 2023</t>
  </si>
  <si>
    <t>15%  Remuneracion base definida en la Lye</t>
  </si>
  <si>
    <t>7,6%Variable Institucional</t>
  </si>
  <si>
    <t>8% Variable Colectivo</t>
  </si>
  <si>
    <t>ESCALA UNICA DE SUELDOS - VIGENTE DICIEMBRE 2023 - NOVIEMBRE 2024</t>
  </si>
  <si>
    <t>HORAS EXTRAS TABLA HOMOLOGADA 2024</t>
  </si>
  <si>
    <t>1/2 ASIG. DIR. - JEF.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</si>
</sst>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&quot;Reajuste 2012&quot;\ \ 0.00"/>
    <numFmt numFmtId="167" formatCode="&quot;Reajuste 2013&quot;\ \ 0.00"/>
    <numFmt numFmtId="168" formatCode="&quot;AUMENTO HOMOLOGACION 2015&quot;\ 0.00"/>
    <numFmt numFmtId="169" formatCode="_-* #,##0.000_-;\-* #,##0.000_-;_-* &quot;-&quot;??_-;_-@_-"/>
    <numFmt numFmtId="170" formatCode="&quot;CALCULO PMG&quot;\ 0.00%\ &quot;TRIMESTRAL&quot;"/>
    <numFmt numFmtId="171" formatCode="0.000"/>
    <numFmt numFmtId="172" formatCode="_-* #,##0\ _p_t_a_-;\-* #,##0\ _p_t_a_-;_-* &quot;-&quot;??\ _p_t_a_-;_-@_-"/>
  </numFmts>
  <fonts count="67" x14ac:knownFonts="1">
    <font>
      <sz val="10"/>
      <name val="Arial"/>
      <family val="2"/>
    </font>
    <font>
      <sz val="8"/>
      <color theme="1"/>
      <name val="Tw Cen MT"/>
      <family val="2"/>
    </font>
    <font>
      <b/>
      <sz val="8"/>
      <color theme="0"/>
      <name val="Tw Cen MT"/>
      <family val="2"/>
    </font>
    <font>
      <sz val="8"/>
      <color rgb="FFFF0000"/>
      <name val="Tw Cen MT"/>
      <family val="2"/>
    </font>
    <font>
      <b/>
      <sz val="8"/>
      <color theme="1"/>
      <name val="Tw Cen MT"/>
      <family val="2"/>
    </font>
    <font>
      <sz val="8"/>
      <color theme="0"/>
      <name val="Tw Cen MT"/>
      <family val="2"/>
    </font>
    <font>
      <sz val="10"/>
      <name val="Arial"/>
      <family val="2"/>
    </font>
    <font>
      <b/>
      <sz val="18"/>
      <color theme="4" tint="-0.249977111117893"/>
      <name val="Tw Cen MT"/>
      <family val="2"/>
    </font>
    <font>
      <b/>
      <i/>
      <sz val="18"/>
      <color theme="4" tint="-0.249977111117893"/>
      <name val="Tw Cen MT"/>
      <family val="2"/>
    </font>
    <font>
      <sz val="14"/>
      <color theme="4" tint="-0.249977111117893"/>
      <name val="Tw Cen MT"/>
      <family val="2"/>
    </font>
    <font>
      <sz val="8"/>
      <name val="Tw Cen MT"/>
      <family val="2"/>
    </font>
    <font>
      <b/>
      <sz val="9"/>
      <name val="Tw Cen MT"/>
      <family val="2"/>
    </font>
    <font>
      <b/>
      <sz val="8"/>
      <name val="Tw Cen MT"/>
      <family val="2"/>
    </font>
    <font>
      <b/>
      <sz val="8"/>
      <color theme="8" tint="-0.249977111117893"/>
      <name val="Tw Cen MT"/>
      <family val="2"/>
    </font>
    <font>
      <b/>
      <sz val="8"/>
      <color rgb="FFFF0000"/>
      <name val="Tw Cen MT"/>
      <family val="2"/>
    </font>
    <font>
      <b/>
      <sz val="8"/>
      <color rgb="FF00FFFF"/>
      <name val="Tw Cen MT"/>
      <family val="2"/>
    </font>
    <font>
      <b/>
      <sz val="8"/>
      <color theme="3" tint="-0.499984740745262"/>
      <name val="Tw Cen MT"/>
      <family val="2"/>
    </font>
    <font>
      <sz val="8"/>
      <color theme="3" tint="-0.499984740745262"/>
      <name val="Tw Cen MT"/>
      <family val="2"/>
    </font>
    <font>
      <sz val="10"/>
      <color rgb="FF00FFFF"/>
      <name val="Tw Cen MT"/>
      <family val="2"/>
    </font>
    <font>
      <b/>
      <sz val="12"/>
      <color theme="3" tint="-0.499984740745262"/>
      <name val="Tw Cen MT"/>
      <family val="2"/>
    </font>
    <font>
      <b/>
      <sz val="10"/>
      <name val="Tw Cen MT"/>
      <family val="2"/>
    </font>
    <font>
      <sz val="8"/>
      <color indexed="10"/>
      <name val="Tw Cen MT"/>
      <family val="2"/>
    </font>
    <font>
      <b/>
      <sz val="8"/>
      <color theme="3" tint="-0.249977111117893"/>
      <name val="Tw Cen MT"/>
      <family val="2"/>
    </font>
    <font>
      <b/>
      <sz val="8"/>
      <color rgb="FFFFFF66"/>
      <name val="Tw Cen MT"/>
      <family val="2"/>
    </font>
    <font>
      <b/>
      <sz val="8"/>
      <color theme="8" tint="0.59999389629810485"/>
      <name val="Tw Cen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color theme="0"/>
      <name val="Tw Cen MT"/>
      <family val="2"/>
    </font>
    <font>
      <b/>
      <sz val="9"/>
      <color theme="0"/>
      <name val="Tw Cen MT"/>
      <family val="2"/>
    </font>
    <font>
      <sz val="9"/>
      <color theme="0"/>
      <name val="Tw Cen MT"/>
      <family val="2"/>
    </font>
    <font>
      <b/>
      <sz val="10"/>
      <color theme="0"/>
      <name val="Tw Cen MT"/>
      <family val="2"/>
    </font>
    <font>
      <sz val="10"/>
      <name val="Tw Cen MT"/>
      <family val="2"/>
    </font>
    <font>
      <b/>
      <sz val="18"/>
      <color rgb="FF00FF00"/>
      <name val="Tw Cen MT"/>
      <family val="2"/>
    </font>
    <font>
      <b/>
      <i/>
      <sz val="18"/>
      <color rgb="FF00FF00"/>
      <name val="Tw Cen MT"/>
      <family val="2"/>
    </font>
    <font>
      <b/>
      <i/>
      <sz val="14"/>
      <color rgb="FF00FF00"/>
      <name val="Tw Cen MT"/>
      <family val="2"/>
    </font>
    <font>
      <b/>
      <i/>
      <sz val="8"/>
      <name val="Tw Cen MT"/>
      <family val="2"/>
    </font>
    <font>
      <b/>
      <i/>
      <sz val="8"/>
      <color rgb="FF6D1931"/>
      <name val="Tw Cen MT"/>
      <family val="2"/>
    </font>
    <font>
      <b/>
      <i/>
      <sz val="12"/>
      <color rgb="FF6D1931"/>
      <name val="Tw Cen MT"/>
      <family val="2"/>
    </font>
    <font>
      <i/>
      <sz val="8"/>
      <name val="Tw Cen MT"/>
      <family val="2"/>
    </font>
    <font>
      <b/>
      <i/>
      <sz val="9"/>
      <name val="Tw Cen MT"/>
      <family val="2"/>
    </font>
    <font>
      <b/>
      <i/>
      <sz val="9"/>
      <color rgb="FF00FFFF"/>
      <name val="Tw Cen MT"/>
      <family val="2"/>
    </font>
    <font>
      <b/>
      <i/>
      <sz val="9"/>
      <color rgb="FF6D1931"/>
      <name val="Tw Cen MT"/>
      <family val="2"/>
    </font>
    <font>
      <b/>
      <i/>
      <sz val="9"/>
      <color rgb="FFFF0000"/>
      <name val="Tw Cen MT"/>
      <family val="2"/>
    </font>
    <font>
      <b/>
      <i/>
      <sz val="9"/>
      <color rgb="FF00FF00"/>
      <name val="Tw Cen MT"/>
      <family val="2"/>
    </font>
    <font>
      <i/>
      <sz val="9"/>
      <name val="Tw Cen MT"/>
      <family val="2"/>
    </font>
    <font>
      <i/>
      <sz val="10"/>
      <name val="Tw Cen MT"/>
      <family val="2"/>
    </font>
    <font>
      <i/>
      <sz val="12"/>
      <name val="Tw Cen MT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i/>
      <sz val="8"/>
      <color theme="0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8"/>
      <color rgb="FFFFFF66"/>
      <name val="Arial Narrow"/>
      <family val="2"/>
    </font>
    <font>
      <b/>
      <i/>
      <sz val="8"/>
      <color theme="5" tint="-0.499984740745262"/>
      <name val="Arial Narrow"/>
      <family val="2"/>
    </font>
    <font>
      <b/>
      <i/>
      <sz val="8"/>
      <color rgb="FF0070C0"/>
      <name val="Arial Narrow"/>
      <family val="2"/>
    </font>
    <font>
      <b/>
      <i/>
      <sz val="8"/>
      <color rgb="FF6D1931"/>
      <name val="Arial Narrow"/>
      <family val="2"/>
    </font>
    <font>
      <b/>
      <i/>
      <sz val="20"/>
      <color theme="5" tint="-0.499984740745262"/>
      <name val="Arial Narrow"/>
      <family val="2"/>
    </font>
    <font>
      <b/>
      <i/>
      <sz val="20"/>
      <color rgb="FF57F51F"/>
      <name val="Arial Narrow"/>
      <family val="2"/>
    </font>
    <font>
      <b/>
      <i/>
      <sz val="16"/>
      <color rgb="FF57F51F"/>
      <name val="Arial Narrow"/>
      <family val="2"/>
    </font>
    <font>
      <b/>
      <i/>
      <sz val="8"/>
      <color rgb="FF00FFFF"/>
      <name val="Arial Narrow"/>
      <family val="2"/>
    </font>
    <font>
      <b/>
      <i/>
      <sz val="16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i/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5DFD6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97DA4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E77EA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FC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831F3C"/>
        <bgColor indexed="64"/>
      </patternFill>
    </fill>
    <fill>
      <patternFill patternType="solid">
        <fgColor rgb="FF57F51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27" fillId="0" borderId="0"/>
    <xf numFmtId="41" fontId="6" fillId="0" borderId="0" applyFont="0" applyFill="0" applyBorder="0" applyAlignment="0" applyProtection="0"/>
  </cellStyleXfs>
  <cellXfs count="351">
    <xf numFmtId="0" fontId="0" fillId="0" borderId="0" xfId="0"/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0" borderId="0" xfId="0" applyFont="1"/>
    <xf numFmtId="165" fontId="10" fillId="0" borderId="0" xfId="1" applyNumberFormat="1" applyFon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2" fillId="0" borderId="1" xfId="0" applyFont="1" applyBorder="1"/>
    <xf numFmtId="3" fontId="12" fillId="0" borderId="1" xfId="1" applyNumberFormat="1" applyFont="1" applyBorder="1"/>
    <xf numFmtId="3" fontId="10" fillId="0" borderId="0" xfId="0" applyNumberFormat="1" applyFont="1"/>
    <xf numFmtId="0" fontId="12" fillId="4" borderId="1" xfId="0" applyFont="1" applyFill="1" applyBorder="1"/>
    <xf numFmtId="3" fontId="12" fillId="4" borderId="1" xfId="1" applyNumberFormat="1" applyFont="1" applyFill="1" applyBorder="1"/>
    <xf numFmtId="0" fontId="10" fillId="4" borderId="0" xfId="0" applyFont="1" applyFill="1"/>
    <xf numFmtId="3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3" fontId="4" fillId="0" borderId="1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/>
    </xf>
    <xf numFmtId="3" fontId="12" fillId="3" borderId="1" xfId="0" applyNumberFormat="1" applyFont="1" applyFill="1" applyBorder="1"/>
    <xf numFmtId="0" fontId="10" fillId="5" borderId="0" xfId="0" applyFont="1" applyFill="1"/>
    <xf numFmtId="3" fontId="10" fillId="5" borderId="0" xfId="0" applyNumberFormat="1" applyFont="1" applyFill="1"/>
    <xf numFmtId="0" fontId="10" fillId="5" borderId="0" xfId="0" applyFont="1" applyFill="1" applyAlignment="1">
      <alignment horizontal="center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67" fontId="12" fillId="0" borderId="0" xfId="0" applyNumberFormat="1" applyFont="1" applyAlignment="1">
      <alignment horizontal="left"/>
    </xf>
    <xf numFmtId="168" fontId="14" fillId="0" borderId="3" xfId="0" applyNumberFormat="1" applyFont="1" applyBorder="1" applyAlignment="1">
      <alignment horizontal="left"/>
    </xf>
    <xf numFmtId="3" fontId="14" fillId="0" borderId="4" xfId="0" applyNumberFormat="1" applyFont="1" applyBorder="1"/>
    <xf numFmtId="0" fontId="14" fillId="0" borderId="0" xfId="0" applyFont="1"/>
    <xf numFmtId="3" fontId="14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/>
    </xf>
    <xf numFmtId="165" fontId="15" fillId="6" borderId="0" xfId="0" applyNumberFormat="1" applyFont="1" applyFill="1"/>
    <xf numFmtId="0" fontId="15" fillId="7" borderId="0" xfId="0" applyFont="1" applyFill="1"/>
    <xf numFmtId="0" fontId="15" fillId="7" borderId="0" xfId="0" applyFont="1" applyFill="1" applyAlignment="1">
      <alignment horizontal="center"/>
    </xf>
    <xf numFmtId="169" fontId="10" fillId="0" borderId="0" xfId="1" applyNumberFormat="1" applyFont="1"/>
    <xf numFmtId="169" fontId="10" fillId="0" borderId="0" xfId="0" applyNumberFormat="1" applyFont="1"/>
    <xf numFmtId="0" fontId="5" fillId="0" borderId="0" xfId="0" applyFont="1"/>
    <xf numFmtId="165" fontId="5" fillId="0" borderId="0" xfId="1" applyNumberFormat="1" applyFont="1" applyFill="1"/>
    <xf numFmtId="165" fontId="10" fillId="0" borderId="0" xfId="1" applyNumberFormat="1" applyFont="1" applyFill="1"/>
    <xf numFmtId="0" fontId="5" fillId="0" borderId="0" xfId="0" applyFont="1" applyAlignment="1">
      <alignment horizontal="center"/>
    </xf>
    <xf numFmtId="0" fontId="16" fillId="4" borderId="0" xfId="0" applyFont="1" applyFill="1" applyAlignment="1">
      <alignment horizontal="center" wrapText="1"/>
    </xf>
    <xf numFmtId="165" fontId="16" fillId="4" borderId="0" xfId="1" applyNumberFormat="1" applyFont="1" applyFill="1" applyAlignment="1">
      <alignment vertical="center"/>
    </xf>
    <xf numFmtId="0" fontId="17" fillId="4" borderId="0" xfId="0" applyFont="1" applyFill="1"/>
    <xf numFmtId="0" fontId="17" fillId="4" borderId="0" xfId="0" applyFont="1" applyFill="1" applyAlignment="1">
      <alignment horizontal="center"/>
    </xf>
    <xf numFmtId="165" fontId="12" fillId="0" borderId="0" xfId="0" applyNumberFormat="1" applyFont="1" applyAlignment="1">
      <alignment horizontal="right"/>
    </xf>
    <xf numFmtId="0" fontId="18" fillId="0" borderId="0" xfId="0" applyFont="1"/>
    <xf numFmtId="165" fontId="18" fillId="0" borderId="0" xfId="1" applyNumberFormat="1" applyFont="1"/>
    <xf numFmtId="0" fontId="18" fillId="0" borderId="0" xfId="0" applyFont="1" applyAlignment="1">
      <alignment horizontal="center"/>
    </xf>
    <xf numFmtId="0" fontId="10" fillId="0" borderId="8" xfId="0" applyFont="1" applyBorder="1"/>
    <xf numFmtId="0" fontId="10" fillId="0" borderId="2" xfId="0" applyFont="1" applyBorder="1"/>
    <xf numFmtId="0" fontId="10" fillId="0" borderId="9" xfId="0" applyFont="1" applyBorder="1"/>
    <xf numFmtId="0" fontId="12" fillId="0" borderId="11" xfId="0" applyFont="1" applyBorder="1" applyAlignment="1">
      <alignment horizontal="center"/>
    </xf>
    <xf numFmtId="0" fontId="10" fillId="0" borderId="1" xfId="0" applyFont="1" applyBorder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9" fontId="16" fillId="3" borderId="1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9" fontId="4" fillId="4" borderId="12" xfId="0" applyNumberFormat="1" applyFont="1" applyFill="1" applyBorder="1" applyAlignment="1">
      <alignment horizontal="center"/>
    </xf>
    <xf numFmtId="171" fontId="16" fillId="3" borderId="12" xfId="0" applyNumberFormat="1" applyFont="1" applyFill="1" applyBorder="1" applyAlignment="1">
      <alignment horizontal="center"/>
    </xf>
    <xf numFmtId="171" fontId="4" fillId="4" borderId="12" xfId="0" applyNumberFormat="1" applyFont="1" applyFill="1" applyBorder="1" applyAlignment="1">
      <alignment horizontal="center"/>
    </xf>
    <xf numFmtId="9" fontId="12" fillId="0" borderId="0" xfId="0" applyNumberFormat="1" applyFont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2" fillId="8" borderId="12" xfId="0" applyNumberFormat="1" applyFont="1" applyFill="1" applyBorder="1" applyAlignment="1">
      <alignment horizontal="center"/>
    </xf>
    <xf numFmtId="9" fontId="12" fillId="0" borderId="12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3" borderId="1" xfId="0" applyNumberFormat="1" applyFont="1" applyFill="1" applyBorder="1" applyAlignment="1">
      <alignment horizontal="right"/>
    </xf>
    <xf numFmtId="3" fontId="10" fillId="0" borderId="1" xfId="0" applyNumberFormat="1" applyFont="1" applyBorder="1"/>
    <xf numFmtId="3" fontId="4" fillId="4" borderId="1" xfId="0" applyNumberFormat="1" applyFont="1" applyFill="1" applyBorder="1" applyAlignment="1">
      <alignment horizontal="right"/>
    </xf>
    <xf numFmtId="3" fontId="10" fillId="0" borderId="1" xfId="1" applyNumberFormat="1" applyFont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center"/>
    </xf>
    <xf numFmtId="165" fontId="21" fillId="0" borderId="0" xfId="1" applyNumberFormat="1" applyFont="1"/>
    <xf numFmtId="172" fontId="10" fillId="0" borderId="1" xfId="1" applyNumberFormat="1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9" fontId="12" fillId="9" borderId="17" xfId="0" applyNumberFormat="1" applyFont="1" applyFill="1" applyBorder="1" applyAlignment="1">
      <alignment horizontal="center"/>
    </xf>
    <xf numFmtId="9" fontId="12" fillId="10" borderId="17" xfId="0" applyNumberFormat="1" applyFont="1" applyFill="1" applyBorder="1" applyAlignment="1">
      <alignment horizontal="center"/>
    </xf>
    <xf numFmtId="9" fontId="12" fillId="4" borderId="15" xfId="0" applyNumberFormat="1" applyFont="1" applyFill="1" applyBorder="1" applyAlignment="1">
      <alignment horizontal="center"/>
    </xf>
    <xf numFmtId="0" fontId="10" fillId="0" borderId="18" xfId="0" applyFont="1" applyBorder="1"/>
    <xf numFmtId="0" fontId="5" fillId="8" borderId="16" xfId="0" applyFont="1" applyFill="1" applyBorder="1"/>
    <xf numFmtId="0" fontId="5" fillId="8" borderId="0" xfId="0" applyFont="1" applyFill="1"/>
    <xf numFmtId="0" fontId="2" fillId="8" borderId="19" xfId="0" applyFont="1" applyFill="1" applyBorder="1" applyAlignment="1">
      <alignment horizontal="center"/>
    </xf>
    <xf numFmtId="0" fontId="22" fillId="9" borderId="19" xfId="0" applyFont="1" applyFill="1" applyBorder="1" applyAlignment="1">
      <alignment horizontal="center"/>
    </xf>
    <xf numFmtId="0" fontId="22" fillId="10" borderId="19" xfId="0" applyFont="1" applyFill="1" applyBorder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8" borderId="16" xfId="0" applyFont="1" applyFill="1" applyBorder="1"/>
    <xf numFmtId="0" fontId="2" fillId="8" borderId="21" xfId="0" applyFont="1" applyFill="1" applyBorder="1" applyAlignment="1">
      <alignment horizontal="center"/>
    </xf>
    <xf numFmtId="10" fontId="22" fillId="9" borderId="21" xfId="2" applyNumberFormat="1" applyFont="1" applyFill="1" applyBorder="1" applyAlignment="1">
      <alignment horizontal="center"/>
    </xf>
    <xf numFmtId="10" fontId="22" fillId="10" borderId="21" xfId="2" applyNumberFormat="1" applyFont="1" applyFill="1" applyBorder="1" applyAlignment="1">
      <alignment horizontal="center"/>
    </xf>
    <xf numFmtId="10" fontId="22" fillId="4" borderId="18" xfId="2" applyNumberFormat="1" applyFont="1" applyFill="1" applyBorder="1" applyAlignment="1">
      <alignment horizontal="center"/>
    </xf>
    <xf numFmtId="10" fontId="10" fillId="0" borderId="0" xfId="0" applyNumberFormat="1" applyFont="1"/>
    <xf numFmtId="0" fontId="2" fillId="8" borderId="3" xfId="0" applyFont="1" applyFill="1" applyBorder="1" applyAlignment="1">
      <alignment horizontal="center"/>
    </xf>
    <xf numFmtId="0" fontId="5" fillId="8" borderId="4" xfId="0" applyFont="1" applyFill="1" applyBorder="1"/>
    <xf numFmtId="10" fontId="22" fillId="9" borderId="19" xfId="2" applyNumberFormat="1" applyFont="1" applyFill="1" applyBorder="1" applyAlignment="1">
      <alignment horizontal="center"/>
    </xf>
    <xf numFmtId="10" fontId="22" fillId="10" borderId="19" xfId="2" applyNumberFormat="1" applyFont="1" applyFill="1" applyBorder="1" applyAlignment="1">
      <alignment horizontal="center"/>
    </xf>
    <xf numFmtId="10" fontId="22" fillId="4" borderId="20" xfId="2" applyNumberFormat="1" applyFont="1" applyFill="1" applyBorder="1" applyAlignment="1">
      <alignment horizontal="center"/>
    </xf>
    <xf numFmtId="0" fontId="10" fillId="0" borderId="22" xfId="0" applyFont="1" applyBorder="1"/>
    <xf numFmtId="0" fontId="10" fillId="0" borderId="23" xfId="0" applyFont="1" applyBorder="1"/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4" fillId="0" borderId="18" xfId="0" applyFont="1" applyBorder="1"/>
    <xf numFmtId="15" fontId="10" fillId="0" borderId="25" xfId="0" applyNumberFormat="1" applyFont="1" applyBorder="1"/>
    <xf numFmtId="15" fontId="10" fillId="0" borderId="0" xfId="0" applyNumberFormat="1" applyFont="1"/>
    <xf numFmtId="9" fontId="10" fillId="0" borderId="0" xfId="0" applyNumberFormat="1" applyFont="1"/>
    <xf numFmtId="3" fontId="12" fillId="10" borderId="1" xfId="0" applyNumberFormat="1" applyFont="1" applyFill="1" applyBorder="1"/>
    <xf numFmtId="3" fontId="14" fillId="11" borderId="1" xfId="0" applyNumberFormat="1" applyFont="1" applyFill="1" applyBorder="1" applyAlignment="1">
      <alignment horizontal="center"/>
    </xf>
    <xf numFmtId="3" fontId="23" fillId="6" borderId="1" xfId="0" applyNumberFormat="1" applyFont="1" applyFill="1" applyBorder="1" applyAlignment="1">
      <alignment horizontal="right"/>
    </xf>
    <xf numFmtId="0" fontId="14" fillId="11" borderId="1" xfId="0" applyFont="1" applyFill="1" applyBorder="1" applyAlignment="1">
      <alignment horizontal="center"/>
    </xf>
    <xf numFmtId="3" fontId="24" fillId="12" borderId="13" xfId="0" applyNumberFormat="1" applyFont="1" applyFill="1" applyBorder="1" applyAlignment="1">
      <alignment horizontal="center"/>
    </xf>
    <xf numFmtId="3" fontId="24" fillId="12" borderId="14" xfId="0" applyNumberFormat="1" applyFont="1" applyFill="1" applyBorder="1"/>
    <xf numFmtId="3" fontId="24" fillId="12" borderId="15" xfId="0" applyNumberFormat="1" applyFont="1" applyFill="1" applyBorder="1"/>
    <xf numFmtId="3" fontId="24" fillId="12" borderId="16" xfId="0" applyNumberFormat="1" applyFont="1" applyFill="1" applyBorder="1" applyAlignment="1">
      <alignment horizontal="center"/>
    </xf>
    <xf numFmtId="3" fontId="24" fillId="12" borderId="0" xfId="0" applyNumberFormat="1" applyFont="1" applyFill="1"/>
    <xf numFmtId="3" fontId="24" fillId="12" borderId="18" xfId="0" applyNumberFormat="1" applyFont="1" applyFill="1" applyBorder="1"/>
    <xf numFmtId="3" fontId="24" fillId="12" borderId="22" xfId="0" applyNumberFormat="1" applyFont="1" applyFill="1" applyBorder="1" applyAlignment="1">
      <alignment horizontal="center"/>
    </xf>
    <xf numFmtId="3" fontId="24" fillId="12" borderId="23" xfId="0" applyNumberFormat="1" applyFont="1" applyFill="1" applyBorder="1"/>
    <xf numFmtId="3" fontId="24" fillId="12" borderId="25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3" fontId="1" fillId="0" borderId="0" xfId="0" applyNumberFormat="1" applyFont="1"/>
    <xf numFmtId="0" fontId="14" fillId="13" borderId="0" xfId="0" applyFont="1" applyFill="1" applyAlignment="1">
      <alignment horizontal="center" wrapText="1"/>
    </xf>
    <xf numFmtId="165" fontId="14" fillId="13" borderId="0" xfId="1" applyNumberFormat="1" applyFont="1" applyFill="1" applyAlignment="1">
      <alignment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9" fontId="16" fillId="11" borderId="1" xfId="0" applyNumberFormat="1" applyFont="1" applyFill="1" applyBorder="1" applyAlignment="1">
      <alignment horizontal="center"/>
    </xf>
    <xf numFmtId="3" fontId="16" fillId="11" borderId="1" xfId="0" applyNumberFormat="1" applyFont="1" applyFill="1" applyBorder="1" applyAlignment="1">
      <alignment horizontal="right"/>
    </xf>
    <xf numFmtId="171" fontId="16" fillId="11" borderId="12" xfId="0" applyNumberFormat="1" applyFont="1" applyFill="1" applyBorder="1" applyAlignment="1">
      <alignment horizontal="center"/>
    </xf>
    <xf numFmtId="0" fontId="29" fillId="14" borderId="1" xfId="0" applyFont="1" applyFill="1" applyBorder="1" applyAlignment="1">
      <alignment horizontal="center"/>
    </xf>
    <xf numFmtId="3" fontId="29" fillId="14" borderId="1" xfId="0" applyNumberFormat="1" applyFont="1" applyFill="1" applyBorder="1"/>
    <xf numFmtId="0" fontId="30" fillId="14" borderId="0" xfId="0" applyFont="1" applyFill="1"/>
    <xf numFmtId="3" fontId="30" fillId="14" borderId="0" xfId="0" applyNumberFormat="1" applyFont="1" applyFill="1"/>
    <xf numFmtId="0" fontId="30" fillId="14" borderId="0" xfId="0" applyFont="1" applyFill="1" applyAlignment="1">
      <alignment horizontal="center"/>
    </xf>
    <xf numFmtId="0" fontId="28" fillId="15" borderId="0" xfId="0" applyFont="1" applyFill="1"/>
    <xf numFmtId="0" fontId="28" fillId="15" borderId="0" xfId="0" applyFont="1" applyFill="1" applyAlignment="1">
      <alignment horizontal="center"/>
    </xf>
    <xf numFmtId="0" fontId="12" fillId="16" borderId="1" xfId="0" applyFont="1" applyFill="1" applyBorder="1"/>
    <xf numFmtId="3" fontId="12" fillId="16" borderId="1" xfId="1" applyNumberFormat="1" applyFont="1" applyFill="1" applyBorder="1"/>
    <xf numFmtId="0" fontId="10" fillId="16" borderId="0" xfId="0" applyFont="1" applyFill="1"/>
    <xf numFmtId="3" fontId="10" fillId="16" borderId="0" xfId="0" applyNumberFormat="1" applyFont="1" applyFill="1"/>
    <xf numFmtId="0" fontId="10" fillId="16" borderId="0" xfId="0" applyFont="1" applyFill="1" applyAlignment="1">
      <alignment horizontal="center"/>
    </xf>
    <xf numFmtId="9" fontId="4" fillId="16" borderId="12" xfId="0" applyNumberFormat="1" applyFont="1" applyFill="1" applyBorder="1" applyAlignment="1">
      <alignment horizontal="center"/>
    </xf>
    <xf numFmtId="3" fontId="4" fillId="16" borderId="1" xfId="0" applyNumberFormat="1" applyFont="1" applyFill="1" applyBorder="1" applyAlignment="1">
      <alignment horizontal="right"/>
    </xf>
    <xf numFmtId="171" fontId="4" fillId="16" borderId="12" xfId="0" applyNumberFormat="1" applyFont="1" applyFill="1" applyBorder="1" applyAlignment="1">
      <alignment horizontal="center"/>
    </xf>
    <xf numFmtId="0" fontId="31" fillId="14" borderId="1" xfId="0" applyFont="1" applyFill="1" applyBorder="1" applyAlignment="1">
      <alignment horizontal="center"/>
    </xf>
    <xf numFmtId="0" fontId="31" fillId="14" borderId="2" xfId="0" applyFont="1" applyFill="1" applyBorder="1" applyAlignment="1">
      <alignment horizontal="center"/>
    </xf>
    <xf numFmtId="0" fontId="32" fillId="0" borderId="0" xfId="0" applyFont="1"/>
    <xf numFmtId="3" fontId="32" fillId="0" borderId="0" xfId="0" applyNumberFormat="1" applyFont="1"/>
    <xf numFmtId="0" fontId="32" fillId="0" borderId="3" xfId="0" applyFont="1" applyBorder="1"/>
    <xf numFmtId="3" fontId="32" fillId="0" borderId="4" xfId="0" applyNumberFormat="1" applyFont="1" applyBorder="1"/>
    <xf numFmtId="3" fontId="32" fillId="0" borderId="20" xfId="0" applyNumberFormat="1" applyFont="1" applyBorder="1"/>
    <xf numFmtId="0" fontId="32" fillId="16" borderId="0" xfId="0" applyFont="1" applyFill="1" applyAlignment="1">
      <alignment horizontal="center"/>
    </xf>
    <xf numFmtId="0" fontId="20" fillId="16" borderId="0" xfId="0" applyFont="1" applyFill="1"/>
    <xf numFmtId="3" fontId="20" fillId="16" borderId="0" xfId="0" applyNumberFormat="1" applyFont="1" applyFill="1" applyAlignment="1">
      <alignment horizontal="center"/>
    </xf>
    <xf numFmtId="3" fontId="32" fillId="10" borderId="0" xfId="0" applyNumberFormat="1" applyFont="1" applyFill="1"/>
    <xf numFmtId="3" fontId="32" fillId="16" borderId="0" xfId="0" applyNumberFormat="1" applyFont="1" applyFill="1"/>
    <xf numFmtId="0" fontId="32" fillId="10" borderId="0" xfId="0" applyFont="1" applyFill="1" applyAlignment="1">
      <alignment horizontal="center"/>
    </xf>
    <xf numFmtId="0" fontId="20" fillId="0" borderId="13" xfId="0" applyFont="1" applyBorder="1"/>
    <xf numFmtId="3" fontId="20" fillId="0" borderId="14" xfId="0" applyNumberFormat="1" applyFont="1" applyBorder="1"/>
    <xf numFmtId="3" fontId="20" fillId="0" borderId="15" xfId="0" applyNumberFormat="1" applyFont="1" applyBorder="1"/>
    <xf numFmtId="0" fontId="20" fillId="0" borderId="22" xfId="0" applyFont="1" applyBorder="1"/>
    <xf numFmtId="3" fontId="20" fillId="0" borderId="23" xfId="0" applyNumberFormat="1" applyFont="1" applyBorder="1"/>
    <xf numFmtId="3" fontId="20" fillId="0" borderId="25" xfId="0" applyNumberFormat="1" applyFont="1" applyBorder="1"/>
    <xf numFmtId="0" fontId="20" fillId="0" borderId="0" xfId="0" applyFont="1"/>
    <xf numFmtId="3" fontId="20" fillId="0" borderId="0" xfId="0" applyNumberFormat="1" applyFont="1"/>
    <xf numFmtId="0" fontId="33" fillId="17" borderId="0" xfId="0" applyFont="1" applyFill="1" applyAlignment="1">
      <alignment horizontal="center" vertical="center"/>
    </xf>
    <xf numFmtId="3" fontId="14" fillId="0" borderId="15" xfId="0" applyNumberFormat="1" applyFont="1" applyBorder="1"/>
    <xf numFmtId="3" fontId="14" fillId="0" borderId="18" xfId="0" applyNumberFormat="1" applyFont="1" applyBorder="1"/>
    <xf numFmtId="3" fontId="14" fillId="0" borderId="25" xfId="0" applyNumberFormat="1" applyFont="1" applyBorder="1"/>
    <xf numFmtId="0" fontId="35" fillId="17" borderId="0" xfId="0" applyFont="1" applyFill="1" applyAlignment="1">
      <alignment horizontal="center" vertical="center"/>
    </xf>
    <xf numFmtId="3" fontId="12" fillId="10" borderId="1" xfId="1" applyNumberFormat="1" applyFont="1" applyFill="1" applyBorder="1"/>
    <xf numFmtId="3" fontId="4" fillId="10" borderId="1" xfId="0" applyNumberFormat="1" applyFont="1" applyFill="1" applyBorder="1"/>
    <xf numFmtId="0" fontId="36" fillId="0" borderId="0" xfId="0" applyFont="1"/>
    <xf numFmtId="0" fontId="13" fillId="10" borderId="0" xfId="0" applyFont="1" applyFill="1"/>
    <xf numFmtId="0" fontId="13" fillId="10" borderId="0" xfId="0" applyFont="1" applyFill="1" applyAlignment="1">
      <alignment horizontal="center"/>
    </xf>
    <xf numFmtId="0" fontId="37" fillId="11" borderId="1" xfId="0" applyFont="1" applyFill="1" applyBorder="1" applyAlignment="1">
      <alignment horizontal="center"/>
    </xf>
    <xf numFmtId="4" fontId="37" fillId="11" borderId="1" xfId="0" applyNumberFormat="1" applyFont="1" applyFill="1" applyBorder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/>
    <xf numFmtId="0" fontId="39" fillId="0" borderId="26" xfId="0" applyFont="1" applyBorder="1" applyAlignment="1">
      <alignment vertical="center"/>
    </xf>
    <xf numFmtId="0" fontId="40" fillId="0" borderId="0" xfId="0" applyFont="1" applyAlignment="1">
      <alignment vertical="center"/>
    </xf>
    <xf numFmtId="3" fontId="42" fillId="10" borderId="1" xfId="0" applyNumberFormat="1" applyFont="1" applyFill="1" applyBorder="1"/>
    <xf numFmtId="0" fontId="41" fillId="18" borderId="1" xfId="0" applyFont="1" applyFill="1" applyBorder="1" applyAlignment="1">
      <alignment horizontal="center" vertical="center"/>
    </xf>
    <xf numFmtId="0" fontId="41" fillId="18" borderId="1" xfId="0" applyFont="1" applyFill="1" applyBorder="1" applyAlignment="1">
      <alignment horizontal="center"/>
    </xf>
    <xf numFmtId="0" fontId="41" fillId="18" borderId="1" xfId="0" applyFont="1" applyFill="1" applyBorder="1" applyAlignment="1">
      <alignment horizontal="center" vertical="center" wrapText="1"/>
    </xf>
    <xf numFmtId="3" fontId="41" fillId="18" borderId="1" xfId="0" applyNumberFormat="1" applyFont="1" applyFill="1" applyBorder="1" applyAlignment="1">
      <alignment horizontal="center" vertical="center"/>
    </xf>
    <xf numFmtId="3" fontId="41" fillId="18" borderId="1" xfId="0" applyNumberFormat="1" applyFont="1" applyFill="1" applyBorder="1"/>
    <xf numFmtId="0" fontId="45" fillId="0" borderId="0" xfId="0" applyFont="1"/>
    <xf numFmtId="3" fontId="40" fillId="0" borderId="1" xfId="0" applyNumberFormat="1" applyFont="1" applyBorder="1"/>
    <xf numFmtId="3" fontId="40" fillId="10" borderId="1" xfId="0" applyNumberFormat="1" applyFont="1" applyFill="1" applyBorder="1"/>
    <xf numFmtId="3" fontId="43" fillId="10" borderId="1" xfId="0" applyNumberFormat="1" applyFont="1" applyFill="1" applyBorder="1"/>
    <xf numFmtId="0" fontId="42" fillId="11" borderId="1" xfId="0" applyFont="1" applyFill="1" applyBorder="1" applyAlignment="1">
      <alignment horizontal="center"/>
    </xf>
    <xf numFmtId="3" fontId="45" fillId="0" borderId="1" xfId="0" applyNumberFormat="1" applyFont="1" applyBorder="1"/>
    <xf numFmtId="3" fontId="42" fillId="11" borderId="1" xfId="0" applyNumberFormat="1" applyFont="1" applyFill="1" applyBorder="1"/>
    <xf numFmtId="3" fontId="45" fillId="10" borderId="1" xfId="0" applyNumberFormat="1" applyFont="1" applyFill="1" applyBorder="1"/>
    <xf numFmtId="0" fontId="46" fillId="0" borderId="0" xfId="0" applyFont="1"/>
    <xf numFmtId="0" fontId="46" fillId="0" borderId="0" xfId="0" applyFont="1" applyAlignment="1">
      <alignment horizontal="center"/>
    </xf>
    <xf numFmtId="3" fontId="46" fillId="0" borderId="0" xfId="0" applyNumberFormat="1" applyFont="1"/>
    <xf numFmtId="3" fontId="44" fillId="18" borderId="1" xfId="0" applyNumberFormat="1" applyFont="1" applyFill="1" applyBorder="1" applyAlignment="1">
      <alignment horizontal="center" vertical="center"/>
    </xf>
    <xf numFmtId="0" fontId="47" fillId="0" borderId="0" xfId="0" applyFont="1"/>
    <xf numFmtId="3" fontId="43" fillId="18" borderId="1" xfId="0" applyNumberFormat="1" applyFont="1" applyFill="1" applyBorder="1"/>
    <xf numFmtId="1" fontId="45" fillId="0" borderId="0" xfId="0" applyNumberFormat="1" applyFont="1"/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3" fontId="49" fillId="0" borderId="0" xfId="0" applyNumberFormat="1" applyFont="1"/>
    <xf numFmtId="0" fontId="49" fillId="0" borderId="26" xfId="0" applyFont="1" applyBorder="1" applyAlignment="1">
      <alignment vertical="center"/>
    </xf>
    <xf numFmtId="0" fontId="50" fillId="18" borderId="1" xfId="0" applyFont="1" applyFill="1" applyBorder="1" applyAlignment="1">
      <alignment horizontal="center"/>
    </xf>
    <xf numFmtId="2" fontId="50" fillId="18" borderId="1" xfId="0" applyNumberFormat="1" applyFont="1" applyFill="1" applyBorder="1" applyAlignment="1">
      <alignment horizontal="center"/>
    </xf>
    <xf numFmtId="4" fontId="50" fillId="18" borderId="1" xfId="0" applyNumberFormat="1" applyFont="1" applyFill="1" applyBorder="1" applyAlignment="1">
      <alignment horizontal="center"/>
    </xf>
    <xf numFmtId="3" fontId="51" fillId="0" borderId="1" xfId="0" applyNumberFormat="1" applyFont="1" applyBorder="1" applyAlignment="1">
      <alignment horizontal="center"/>
    </xf>
    <xf numFmtId="3" fontId="51" fillId="10" borderId="1" xfId="0" applyNumberFormat="1" applyFont="1" applyFill="1" applyBorder="1"/>
    <xf numFmtId="3" fontId="51" fillId="0" borderId="1" xfId="0" applyNumberFormat="1" applyFont="1" applyBorder="1"/>
    <xf numFmtId="3" fontId="52" fillId="11" borderId="1" xfId="0" applyNumberFormat="1" applyFont="1" applyFill="1" applyBorder="1" applyAlignment="1">
      <alignment horizontal="center"/>
    </xf>
    <xf numFmtId="3" fontId="53" fillId="6" borderId="1" xfId="0" applyNumberFormat="1" applyFont="1" applyFill="1" applyBorder="1" applyAlignment="1">
      <alignment horizontal="right"/>
    </xf>
    <xf numFmtId="0" fontId="52" fillId="11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4" fillId="16" borderId="0" xfId="0" applyFont="1" applyFill="1" applyAlignment="1">
      <alignment horizontal="center" vertical="center"/>
    </xf>
    <xf numFmtId="0" fontId="48" fillId="0" borderId="0" xfId="0" applyFont="1" applyAlignment="1">
      <alignment vertical="center"/>
    </xf>
    <xf numFmtId="0" fontId="55" fillId="10" borderId="1" xfId="0" applyFont="1" applyFill="1" applyBorder="1" applyAlignment="1">
      <alignment horizontal="center" vertical="center"/>
    </xf>
    <xf numFmtId="0" fontId="55" fillId="10" borderId="1" xfId="0" applyFont="1" applyFill="1" applyBorder="1" applyAlignment="1">
      <alignment horizontal="center" vertical="center" wrapText="1"/>
    </xf>
    <xf numFmtId="3" fontId="55" fillId="10" borderId="1" xfId="0" applyNumberFormat="1" applyFont="1" applyFill="1" applyBorder="1" applyAlignment="1">
      <alignment horizontal="center" vertical="center"/>
    </xf>
    <xf numFmtId="0" fontId="55" fillId="10" borderId="1" xfId="0" applyFont="1" applyFill="1" applyBorder="1" applyAlignment="1">
      <alignment horizontal="center"/>
    </xf>
    <xf numFmtId="3" fontId="48" fillId="0" borderId="1" xfId="0" applyNumberFormat="1" applyFont="1" applyBorder="1"/>
    <xf numFmtId="3" fontId="50" fillId="18" borderId="1" xfId="0" applyNumberFormat="1" applyFont="1" applyFill="1" applyBorder="1"/>
    <xf numFmtId="3" fontId="55" fillId="10" borderId="1" xfId="0" applyNumberFormat="1" applyFont="1" applyFill="1" applyBorder="1"/>
    <xf numFmtId="1" fontId="49" fillId="0" borderId="0" xfId="0" applyNumberFormat="1" applyFont="1"/>
    <xf numFmtId="3" fontId="49" fillId="10" borderId="0" xfId="0" applyNumberFormat="1" applyFont="1" applyFill="1"/>
    <xf numFmtId="3" fontId="49" fillId="0" borderId="1" xfId="0" applyNumberFormat="1" applyFont="1" applyBorder="1"/>
    <xf numFmtId="3" fontId="56" fillId="10" borderId="1" xfId="0" applyNumberFormat="1" applyFont="1" applyFill="1" applyBorder="1"/>
    <xf numFmtId="3" fontId="49" fillId="10" borderId="1" xfId="0" applyNumberFormat="1" applyFont="1" applyFill="1" applyBorder="1"/>
    <xf numFmtId="3" fontId="48" fillId="16" borderId="1" xfId="0" applyNumberFormat="1" applyFont="1" applyFill="1" applyBorder="1"/>
    <xf numFmtId="3" fontId="48" fillId="10" borderId="1" xfId="0" applyNumberFormat="1" applyFont="1" applyFill="1" applyBorder="1"/>
    <xf numFmtId="0" fontId="60" fillId="19" borderId="1" xfId="0" applyFont="1" applyFill="1" applyBorder="1" applyAlignment="1">
      <alignment horizontal="center" vertical="center"/>
    </xf>
    <xf numFmtId="0" fontId="60" fillId="19" borderId="1" xfId="0" applyFont="1" applyFill="1" applyBorder="1" applyAlignment="1">
      <alignment horizontal="center"/>
    </xf>
    <xf numFmtId="0" fontId="60" fillId="19" borderId="1" xfId="0" applyFont="1" applyFill="1" applyBorder="1" applyAlignment="1">
      <alignment horizontal="center" vertical="center" wrapText="1"/>
    </xf>
    <xf numFmtId="3" fontId="60" fillId="19" borderId="1" xfId="0" applyNumberFormat="1" applyFont="1" applyFill="1" applyBorder="1" applyAlignment="1">
      <alignment horizontal="center" vertical="center"/>
    </xf>
    <xf numFmtId="3" fontId="60" fillId="19" borderId="1" xfId="0" applyNumberFormat="1" applyFont="1" applyFill="1" applyBorder="1"/>
    <xf numFmtId="0" fontId="59" fillId="19" borderId="0" xfId="0" applyFont="1" applyFill="1" applyAlignment="1">
      <alignment horizontal="center" vertical="center"/>
    </xf>
    <xf numFmtId="0" fontId="49" fillId="10" borderId="0" xfId="0" applyFont="1" applyFill="1"/>
    <xf numFmtId="0" fontId="60" fillId="10" borderId="1" xfId="0" applyFont="1" applyFill="1" applyBorder="1" applyAlignment="1">
      <alignment horizontal="center"/>
    </xf>
    <xf numFmtId="1" fontId="49" fillId="10" borderId="0" xfId="0" applyNumberFormat="1" applyFont="1" applyFill="1"/>
    <xf numFmtId="171" fontId="61" fillId="0" borderId="0" xfId="0" applyNumberFormat="1" applyFont="1" applyAlignment="1">
      <alignment horizontal="center" vertical="center" wrapText="1"/>
    </xf>
    <xf numFmtId="3" fontId="48" fillId="20" borderId="1" xfId="0" applyNumberFormat="1" applyFont="1" applyFill="1" applyBorder="1"/>
    <xf numFmtId="3" fontId="48" fillId="21" borderId="1" xfId="0" applyNumberFormat="1" applyFont="1" applyFill="1" applyBorder="1"/>
    <xf numFmtId="3" fontId="48" fillId="0" borderId="0" xfId="0" applyNumberFormat="1" applyFont="1"/>
    <xf numFmtId="3" fontId="48" fillId="0" borderId="0" xfId="0" applyNumberFormat="1" applyFont="1" applyAlignment="1">
      <alignment vertical="center"/>
    </xf>
    <xf numFmtId="3" fontId="50" fillId="18" borderId="1" xfId="0" applyNumberFormat="1" applyFont="1" applyFill="1" applyBorder="1" applyAlignment="1">
      <alignment horizontal="center"/>
    </xf>
    <xf numFmtId="3" fontId="49" fillId="21" borderId="0" xfId="0" applyNumberFormat="1" applyFont="1" applyFill="1"/>
    <xf numFmtId="0" fontId="49" fillId="21" borderId="0" xfId="0" applyFont="1" applyFill="1"/>
    <xf numFmtId="3" fontId="49" fillId="21" borderId="0" xfId="0" applyNumberFormat="1" applyFont="1" applyFill="1" applyAlignment="1">
      <alignment horizontal="right"/>
    </xf>
    <xf numFmtId="3" fontId="49" fillId="0" borderId="2" xfId="0" applyNumberFormat="1" applyFont="1" applyBorder="1"/>
    <xf numFmtId="3" fontId="48" fillId="16" borderId="3" xfId="0" applyNumberFormat="1" applyFont="1" applyFill="1" applyBorder="1" applyAlignment="1">
      <alignment horizontal="center"/>
    </xf>
    <xf numFmtId="0" fontId="48" fillId="16" borderId="20" xfId="0" applyFont="1" applyFill="1" applyBorder="1" applyAlignment="1">
      <alignment horizontal="center"/>
    </xf>
    <xf numFmtId="0" fontId="48" fillId="16" borderId="19" xfId="0" applyFont="1" applyFill="1" applyBorder="1" applyAlignment="1">
      <alignment horizontal="center"/>
    </xf>
    <xf numFmtId="0" fontId="48" fillId="10" borderId="0" xfId="0" applyFont="1" applyFill="1"/>
    <xf numFmtId="0" fontId="48" fillId="10" borderId="0" xfId="0" applyFont="1" applyFill="1" applyAlignment="1">
      <alignment vertical="center"/>
    </xf>
    <xf numFmtId="3" fontId="60" fillId="19" borderId="5" xfId="0" applyNumberFormat="1" applyFont="1" applyFill="1" applyBorder="1" applyAlignment="1">
      <alignment horizontal="center" vertical="center"/>
    </xf>
    <xf numFmtId="3" fontId="48" fillId="10" borderId="5" xfId="0" applyNumberFormat="1" applyFont="1" applyFill="1" applyBorder="1"/>
    <xf numFmtId="3" fontId="48" fillId="0" borderId="5" xfId="0" applyNumberFormat="1" applyFont="1" applyBorder="1"/>
    <xf numFmtId="3" fontId="48" fillId="0" borderId="1" xfId="0" applyNumberFormat="1" applyFont="1" applyBorder="1" applyAlignment="1">
      <alignment vertical="center"/>
    </xf>
    <xf numFmtId="0" fontId="65" fillId="19" borderId="1" xfId="0" applyFont="1" applyFill="1" applyBorder="1" applyAlignment="1">
      <alignment horizontal="center" vertical="center" wrapText="1"/>
    </xf>
    <xf numFmtId="9" fontId="48" fillId="0" borderId="0" xfId="0" applyNumberFormat="1" applyFont="1"/>
    <xf numFmtId="0" fontId="66" fillId="0" borderId="0" xfId="0" applyFont="1"/>
    <xf numFmtId="0" fontId="65" fillId="19" borderId="1" xfId="0" applyFont="1" applyFill="1" applyBorder="1" applyAlignment="1">
      <alignment horizontal="center"/>
    </xf>
    <xf numFmtId="3" fontId="65" fillId="10" borderId="1" xfId="0" applyNumberFormat="1" applyFont="1" applyFill="1" applyBorder="1"/>
    <xf numFmtId="3" fontId="65" fillId="19" borderId="1" xfId="0" applyNumberFormat="1" applyFont="1" applyFill="1" applyBorder="1"/>
    <xf numFmtId="3" fontId="65" fillId="10" borderId="5" xfId="0" applyNumberFormat="1" applyFont="1" applyFill="1" applyBorder="1"/>
    <xf numFmtId="3" fontId="66" fillId="0" borderId="1" xfId="0" applyNumberFormat="1" applyFont="1" applyBorder="1"/>
    <xf numFmtId="3" fontId="66" fillId="0" borderId="0" xfId="0" applyNumberFormat="1" applyFont="1"/>
    <xf numFmtId="41" fontId="66" fillId="0" borderId="0" xfId="5" applyFont="1"/>
    <xf numFmtId="41" fontId="66" fillId="0" borderId="0" xfId="0" applyNumberFormat="1" applyFont="1"/>
    <xf numFmtId="0" fontId="14" fillId="11" borderId="10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9" fontId="23" fillId="6" borderId="10" xfId="0" applyNumberFormat="1" applyFont="1" applyFill="1" applyBorder="1" applyAlignment="1">
      <alignment horizontal="center" wrapText="1"/>
    </xf>
    <xf numFmtId="9" fontId="23" fillId="6" borderId="12" xfId="0" applyNumberFormat="1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0" fillId="0" borderId="0" xfId="1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70" fontId="12" fillId="0" borderId="5" xfId="0" applyNumberFormat="1" applyFont="1" applyBorder="1" applyAlignment="1">
      <alignment horizontal="center"/>
    </xf>
    <xf numFmtId="170" fontId="12" fillId="0" borderId="6" xfId="0" applyNumberFormat="1" applyFont="1" applyBorder="1" applyAlignment="1">
      <alignment horizontal="center"/>
    </xf>
    <xf numFmtId="170" fontId="12" fillId="0" borderId="7" xfId="0" applyNumberFormat="1" applyFont="1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15" xfId="0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/>
    </xf>
    <xf numFmtId="0" fontId="12" fillId="10" borderId="20" xfId="0" applyFont="1" applyFill="1" applyBorder="1" applyAlignment="1">
      <alignment horizontal="center"/>
    </xf>
    <xf numFmtId="0" fontId="34" fillId="17" borderId="0" xfId="0" applyFont="1" applyFill="1" applyAlignment="1">
      <alignment horizontal="center" vertical="center"/>
    </xf>
    <xf numFmtId="0" fontId="35" fillId="17" borderId="0" xfId="0" applyFont="1" applyFill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7" fillId="11" borderId="10" xfId="0" applyFont="1" applyFill="1" applyBorder="1" applyAlignment="1">
      <alignment horizontal="center" vertical="center"/>
    </xf>
    <xf numFmtId="0" fontId="37" fillId="11" borderId="12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/>
    </xf>
    <xf numFmtId="0" fontId="37" fillId="11" borderId="6" xfId="0" applyFont="1" applyFill="1" applyBorder="1" applyAlignment="1">
      <alignment horizontal="center"/>
    </xf>
    <xf numFmtId="0" fontId="37" fillId="11" borderId="7" xfId="0" applyFont="1" applyFill="1" applyBorder="1" applyAlignment="1">
      <alignment horizontal="center"/>
    </xf>
    <xf numFmtId="0" fontId="37" fillId="11" borderId="1" xfId="0" applyFont="1" applyFill="1" applyBorder="1" applyAlignment="1">
      <alignment horizontal="center"/>
    </xf>
    <xf numFmtId="0" fontId="38" fillId="10" borderId="0" xfId="0" applyFont="1" applyFill="1" applyAlignment="1">
      <alignment horizontal="center" vertical="center"/>
    </xf>
    <xf numFmtId="9" fontId="53" fillId="6" borderId="10" xfId="0" applyNumberFormat="1" applyFont="1" applyFill="1" applyBorder="1" applyAlignment="1">
      <alignment horizontal="center" wrapText="1"/>
    </xf>
    <xf numFmtId="9" fontId="53" fillId="6" borderId="12" xfId="0" applyNumberFormat="1" applyFont="1" applyFill="1" applyBorder="1" applyAlignment="1">
      <alignment horizontal="center" wrapText="1"/>
    </xf>
    <xf numFmtId="0" fontId="52" fillId="11" borderId="10" xfId="0" applyFont="1" applyFill="1" applyBorder="1" applyAlignment="1">
      <alignment horizontal="center" vertical="center" wrapText="1"/>
    </xf>
    <xf numFmtId="0" fontId="52" fillId="11" borderId="12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0" fontId="50" fillId="18" borderId="5" xfId="0" applyFont="1" applyFill="1" applyBorder="1" applyAlignment="1">
      <alignment horizontal="center"/>
    </xf>
    <xf numFmtId="0" fontId="50" fillId="18" borderId="6" xfId="0" applyFont="1" applyFill="1" applyBorder="1" applyAlignment="1">
      <alignment horizontal="center"/>
    </xf>
    <xf numFmtId="0" fontId="50" fillId="18" borderId="7" xfId="0" applyFont="1" applyFill="1" applyBorder="1" applyAlignment="1">
      <alignment horizontal="center"/>
    </xf>
    <xf numFmtId="0" fontId="57" fillId="16" borderId="0" xfId="0" applyFont="1" applyFill="1" applyAlignment="1">
      <alignment horizontal="center" vertical="center"/>
    </xf>
    <xf numFmtId="0" fontId="54" fillId="16" borderId="0" xfId="0" applyFont="1" applyFill="1" applyAlignment="1">
      <alignment horizontal="center" vertical="center"/>
    </xf>
    <xf numFmtId="0" fontId="50" fillId="18" borderId="1" xfId="0" applyFont="1" applyFill="1" applyBorder="1" applyAlignment="1">
      <alignment horizontal="center" vertical="center"/>
    </xf>
    <xf numFmtId="0" fontId="50" fillId="18" borderId="1" xfId="0" applyFont="1" applyFill="1" applyBorder="1" applyAlignment="1">
      <alignment horizontal="center"/>
    </xf>
    <xf numFmtId="0" fontId="50" fillId="18" borderId="10" xfId="0" applyFont="1" applyFill="1" applyBorder="1" applyAlignment="1">
      <alignment horizontal="center" vertical="center"/>
    </xf>
    <xf numFmtId="0" fontId="50" fillId="18" borderId="12" xfId="0" applyFont="1" applyFill="1" applyBorder="1" applyAlignment="1">
      <alignment horizontal="center" vertical="center"/>
    </xf>
    <xf numFmtId="0" fontId="58" fillId="19" borderId="0" xfId="0" applyFont="1" applyFill="1" applyAlignment="1">
      <alignment horizontal="center" vertical="center"/>
    </xf>
    <xf numFmtId="0" fontId="54" fillId="16" borderId="3" xfId="0" applyFont="1" applyFill="1" applyBorder="1" applyAlignment="1">
      <alignment horizontal="center" vertical="center"/>
    </xf>
    <xf numFmtId="0" fontId="54" fillId="16" borderId="4" xfId="0" applyFont="1" applyFill="1" applyBorder="1" applyAlignment="1">
      <alignment horizontal="center" vertical="center"/>
    </xf>
    <xf numFmtId="0" fontId="54" fillId="16" borderId="20" xfId="0" applyFont="1" applyFill="1" applyBorder="1" applyAlignment="1">
      <alignment horizontal="center" vertical="center"/>
    </xf>
    <xf numFmtId="0" fontId="50" fillId="18" borderId="2" xfId="0" applyFont="1" applyFill="1" applyBorder="1" applyAlignment="1">
      <alignment horizontal="center"/>
    </xf>
  </cellXfs>
  <cellStyles count="6">
    <cellStyle name="Millares" xfId="1" builtinId="3"/>
    <cellStyle name="Millares [0]" xfId="5" builtinId="6"/>
    <cellStyle name="Normal" xfId="0" builtinId="0"/>
    <cellStyle name="Normal 2" xfId="3" xr:uid="{00000000-0005-0000-0000-000003000000}"/>
    <cellStyle name="Normal 3" xfId="4" xr:uid="{00000000-0005-0000-0000-000004000000}"/>
    <cellStyle name="Porcentaje" xfId="2" builtinId="5"/>
  </cellStyles>
  <dxfs count="0"/>
  <tableStyles count="0" defaultTableStyle="TableStyleMedium2" defaultPivotStyle="PivotStyleLight16"/>
  <colors>
    <mruColors>
      <color rgb="FF00FF00"/>
      <color rgb="FF00FFFF"/>
      <color rgb="FF57F51F"/>
      <color rgb="FFCCFF33"/>
      <color rgb="FF6D1931"/>
      <color rgb="FFFF00FF"/>
      <color rgb="FF831F3C"/>
      <color rgb="FFB72B53"/>
      <color rgb="FFD03863"/>
      <color rgb="FFD1F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Copia%20de%20ASCENSOS%202014%20(APLICAR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mela%20Toro/AppData/Local/Microsoft/Windows/Temporary%20Internet%20Files/Content.Outlook/YLABSXYJ/Escala%20Sueldos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mela%20Toro/AppData/Local/Microsoft/Windows/Temporary%20Internet%20Files/Content.Outlook/YLABSXYJ/Escala%20Sueldo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CENSOS 2014"/>
      <sheetName val="ASCENSOS 2015"/>
      <sheetName val="Tabla Homol.Enero-Nov.2014"/>
      <sheetName val="Tabla Homol.Dic.2014"/>
      <sheetName val="Tabla Homol.Enero-Nov.2015"/>
      <sheetName val="Hoja4"/>
    </sheetNames>
    <sheetDataSet>
      <sheetData sheetId="0"/>
      <sheetData sheetId="1"/>
      <sheetData sheetId="2"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</row>
        <row r="5">
          <cell r="B5">
            <v>537956</v>
          </cell>
          <cell r="C5">
            <v>507743</v>
          </cell>
          <cell r="D5">
            <v>532430.74</v>
          </cell>
          <cell r="E5">
            <v>502780.14250000002</v>
          </cell>
          <cell r="F5">
            <v>474506.6</v>
          </cell>
          <cell r="G5">
            <v>440614.77750000003</v>
          </cell>
          <cell r="H5">
            <v>406540.72249999997</v>
          </cell>
          <cell r="I5">
            <v>371389.46750000003</v>
          </cell>
          <cell r="J5">
            <v>342489.39</v>
          </cell>
          <cell r="K5">
            <v>317598.43</v>
          </cell>
          <cell r="L5">
            <v>294077.09999999998</v>
          </cell>
          <cell r="M5">
            <v>272307.5625</v>
          </cell>
          <cell r="N5">
            <v>252128.2</v>
          </cell>
          <cell r="O5">
            <v>233426.3475</v>
          </cell>
          <cell r="P5">
            <v>216174.005</v>
          </cell>
          <cell r="Q5">
            <v>199977.29</v>
          </cell>
          <cell r="R5">
            <v>185226.97</v>
          </cell>
          <cell r="S5">
            <v>171507.31</v>
          </cell>
          <cell r="T5">
            <v>160205.38250000001</v>
          </cell>
          <cell r="U5">
            <v>149717.32999999999</v>
          </cell>
        </row>
        <row r="6">
          <cell r="B6">
            <v>115661</v>
          </cell>
          <cell r="C6">
            <v>109165</v>
          </cell>
          <cell r="D6">
            <v>114473</v>
          </cell>
          <cell r="E6">
            <v>108098</v>
          </cell>
          <cell r="F6">
            <v>102019</v>
          </cell>
          <cell r="G6">
            <v>94732</v>
          </cell>
          <cell r="H6">
            <v>87406</v>
          </cell>
          <cell r="I6">
            <v>79849</v>
          </cell>
          <cell r="J6">
            <v>73635</v>
          </cell>
          <cell r="K6">
            <v>68284</v>
          </cell>
          <cell r="L6">
            <v>63227</v>
          </cell>
          <cell r="M6">
            <v>58546</v>
          </cell>
          <cell r="N6">
            <v>54208</v>
          </cell>
          <cell r="O6">
            <v>50187</v>
          </cell>
          <cell r="P6">
            <v>46477</v>
          </cell>
          <cell r="Q6">
            <v>42995</v>
          </cell>
          <cell r="R6">
            <v>37045</v>
          </cell>
          <cell r="S6">
            <v>34301</v>
          </cell>
          <cell r="T6">
            <v>32041</v>
          </cell>
          <cell r="U6">
            <v>29943</v>
          </cell>
        </row>
        <row r="7">
          <cell r="B7">
            <v>1998042</v>
          </cell>
          <cell r="C7">
            <v>1911546</v>
          </cell>
          <cell r="D7">
            <v>1576263</v>
          </cell>
          <cell r="E7">
            <v>1529319</v>
          </cell>
          <cell r="F7">
            <v>1314414</v>
          </cell>
          <cell r="G7">
            <v>1110780</v>
          </cell>
          <cell r="H7">
            <v>833004</v>
          </cell>
          <cell r="I7">
            <v>639574</v>
          </cell>
          <cell r="J7">
            <v>491435</v>
          </cell>
          <cell r="K7">
            <v>371471</v>
          </cell>
          <cell r="L7">
            <v>280688</v>
          </cell>
          <cell r="M7">
            <v>207184</v>
          </cell>
          <cell r="N7">
            <v>154175</v>
          </cell>
          <cell r="O7">
            <v>116461</v>
          </cell>
          <cell r="P7">
            <v>93543</v>
          </cell>
          <cell r="Q7">
            <v>91870</v>
          </cell>
          <cell r="R7">
            <v>71031</v>
          </cell>
          <cell r="S7">
            <v>68789</v>
          </cell>
          <cell r="T7">
            <v>75236</v>
          </cell>
          <cell r="U7">
            <v>59264</v>
          </cell>
        </row>
        <row r="8">
          <cell r="B8">
            <v>150628</v>
          </cell>
          <cell r="C8">
            <v>142168</v>
          </cell>
          <cell r="D8">
            <v>149081</v>
          </cell>
          <cell r="E8">
            <v>140778</v>
          </cell>
          <cell r="F8">
            <v>132862</v>
          </cell>
          <cell r="G8">
            <v>123372</v>
          </cell>
          <cell r="H8">
            <v>113831</v>
          </cell>
          <cell r="I8">
            <v>103989</v>
          </cell>
          <cell r="J8">
            <v>95897</v>
          </cell>
          <cell r="K8">
            <v>88928</v>
          </cell>
          <cell r="L8">
            <v>82342</v>
          </cell>
          <cell r="M8">
            <v>76246</v>
          </cell>
          <cell r="N8">
            <v>70596</v>
          </cell>
          <cell r="O8">
            <v>65359</v>
          </cell>
          <cell r="P8">
            <v>60529</v>
          </cell>
          <cell r="Q8">
            <v>55994</v>
          </cell>
          <cell r="R8">
            <v>51864</v>
          </cell>
          <cell r="S8">
            <v>48022</v>
          </cell>
          <cell r="T8">
            <v>44858</v>
          </cell>
          <cell r="U8">
            <v>41921</v>
          </cell>
        </row>
        <row r="9">
          <cell r="B9">
            <v>178584</v>
          </cell>
          <cell r="C9">
            <v>183519</v>
          </cell>
          <cell r="D9">
            <v>184197</v>
          </cell>
          <cell r="E9">
            <v>188482</v>
          </cell>
          <cell r="F9">
            <v>192784</v>
          </cell>
          <cell r="G9">
            <v>215487</v>
          </cell>
          <cell r="H9">
            <v>148593</v>
          </cell>
          <cell r="I9">
            <v>113340</v>
          </cell>
          <cell r="J9">
            <v>86411</v>
          </cell>
          <cell r="K9">
            <v>64579</v>
          </cell>
          <cell r="L9">
            <v>48134</v>
          </cell>
          <cell r="M9">
            <v>40709</v>
          </cell>
          <cell r="N9">
            <v>30054</v>
          </cell>
          <cell r="O9">
            <v>22660</v>
          </cell>
          <cell r="P9">
            <v>17574</v>
          </cell>
          <cell r="Q9">
            <v>17116</v>
          </cell>
          <cell r="R9">
            <v>12334</v>
          </cell>
          <cell r="S9">
            <v>11279</v>
          </cell>
          <cell r="T9">
            <v>11435</v>
          </cell>
          <cell r="U9">
            <v>7719</v>
          </cell>
        </row>
        <row r="10">
          <cell r="B10">
            <v>16630</v>
          </cell>
          <cell r="C10">
            <v>16630</v>
          </cell>
          <cell r="D10">
            <v>16630</v>
          </cell>
          <cell r="E10">
            <v>16630</v>
          </cell>
          <cell r="F10">
            <v>16630</v>
          </cell>
          <cell r="G10">
            <v>16630</v>
          </cell>
          <cell r="H10">
            <v>16630</v>
          </cell>
          <cell r="I10">
            <v>16630</v>
          </cell>
          <cell r="J10">
            <v>16630</v>
          </cell>
          <cell r="K10">
            <v>16630</v>
          </cell>
          <cell r="L10">
            <v>16630</v>
          </cell>
          <cell r="M10">
            <v>61887</v>
          </cell>
          <cell r="N10">
            <v>60056</v>
          </cell>
          <cell r="O10">
            <v>59576</v>
          </cell>
          <cell r="P10">
            <v>51304</v>
          </cell>
          <cell r="Q10">
            <v>54053</v>
          </cell>
          <cell r="R10">
            <v>50287</v>
          </cell>
          <cell r="S10">
            <v>50287</v>
          </cell>
          <cell r="T10">
            <v>52414</v>
          </cell>
          <cell r="U10">
            <v>50357</v>
          </cell>
        </row>
        <row r="11">
          <cell r="B11">
            <v>80901</v>
          </cell>
          <cell r="C11">
            <v>83461</v>
          </cell>
          <cell r="D11">
            <v>83796</v>
          </cell>
          <cell r="E11">
            <v>86009</v>
          </cell>
          <cell r="F11">
            <v>88259</v>
          </cell>
          <cell r="G11">
            <v>82117</v>
          </cell>
          <cell r="H11">
            <v>61242</v>
          </cell>
          <cell r="I11">
            <v>46727</v>
          </cell>
          <cell r="J11">
            <v>35619</v>
          </cell>
          <cell r="K11">
            <v>26639</v>
          </cell>
          <cell r="L11">
            <v>19829</v>
          </cell>
          <cell r="M11">
            <v>15840</v>
          </cell>
          <cell r="N11">
            <v>11429</v>
          </cell>
          <cell r="O11">
            <v>8450</v>
          </cell>
          <cell r="P11">
            <v>6612</v>
          </cell>
          <cell r="Q11">
            <v>6423</v>
          </cell>
          <cell r="R11">
            <v>4606</v>
          </cell>
          <cell r="S11">
            <v>4163</v>
          </cell>
          <cell r="T11">
            <v>4230</v>
          </cell>
          <cell r="U11">
            <v>2755</v>
          </cell>
        </row>
        <row r="12">
          <cell r="B12">
            <v>0</v>
          </cell>
          <cell r="C12">
            <v>0</v>
          </cell>
          <cell r="D12">
            <v>22812</v>
          </cell>
          <cell r="E12">
            <v>22812</v>
          </cell>
          <cell r="F12">
            <v>22812</v>
          </cell>
          <cell r="G12">
            <v>26233</v>
          </cell>
          <cell r="H12">
            <v>26233</v>
          </cell>
          <cell r="I12">
            <v>26233</v>
          </cell>
          <cell r="J12">
            <v>26233</v>
          </cell>
          <cell r="K12">
            <v>26233</v>
          </cell>
          <cell r="L12">
            <v>26233</v>
          </cell>
          <cell r="M12">
            <v>43340</v>
          </cell>
          <cell r="N12">
            <v>43340</v>
          </cell>
          <cell r="O12">
            <v>43340</v>
          </cell>
          <cell r="P12">
            <v>43340</v>
          </cell>
          <cell r="Q12">
            <v>43340</v>
          </cell>
          <cell r="R12">
            <v>43340</v>
          </cell>
          <cell r="S12">
            <v>43340</v>
          </cell>
          <cell r="T12">
            <v>43340</v>
          </cell>
          <cell r="U12">
            <v>43340</v>
          </cell>
        </row>
        <row r="13">
          <cell r="B13">
            <v>537956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1998042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0</v>
          </cell>
          <cell r="C15">
            <v>0</v>
          </cell>
          <cell r="D15">
            <v>632608.12200000009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>
            <v>0</v>
          </cell>
          <cell r="C16">
            <v>0</v>
          </cell>
          <cell r="D16">
            <v>421738.74800000008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5614400</v>
          </cell>
          <cell r="C17">
            <v>2954232</v>
          </cell>
          <cell r="D17">
            <v>2679682.7400000002</v>
          </cell>
          <cell r="E17">
            <v>2594908.1425000001</v>
          </cell>
          <cell r="F17">
            <v>2344286.6</v>
          </cell>
          <cell r="G17">
            <v>2109965.7774999999</v>
          </cell>
          <cell r="H17">
            <v>1693479.7224999999</v>
          </cell>
          <cell r="I17">
            <v>1397731.4675</v>
          </cell>
          <cell r="J17">
            <v>1168349.3900000001</v>
          </cell>
          <cell r="K17">
            <v>980362.42999999993</v>
          </cell>
          <cell r="L17">
            <v>831160.1</v>
          </cell>
          <cell r="M17">
            <v>776059.5625</v>
          </cell>
          <cell r="N17">
            <v>675986.2</v>
          </cell>
          <cell r="O17">
            <v>599459.34750000003</v>
          </cell>
          <cell r="P17">
            <v>535553.005</v>
          </cell>
          <cell r="Q17">
            <v>511768.29000000004</v>
          </cell>
          <cell r="R17">
            <v>455733.97</v>
          </cell>
          <cell r="S17">
            <v>431688.31</v>
          </cell>
          <cell r="T17">
            <v>423759.38250000001</v>
          </cell>
          <cell r="U17">
            <v>385016.32999999996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Homol.Dic.2014"/>
      <sheetName val="Tabla Homol.Enero-Nov.2015"/>
      <sheetName val="Tabla Homol.Dic.2015-Nov.2016"/>
      <sheetName val="Hoja1"/>
      <sheetName val="Hoja2"/>
      <sheetName val="Escala Comparativa"/>
      <sheetName val="Hoja4"/>
    </sheetNames>
    <sheetDataSet>
      <sheetData sheetId="0">
        <row r="17">
          <cell r="B17">
            <v>5951266</v>
          </cell>
          <cell r="C17">
            <v>3131488</v>
          </cell>
          <cell r="D17">
            <v>2840466</v>
          </cell>
          <cell r="E17">
            <v>2750605</v>
          </cell>
          <cell r="F17">
            <v>2484946</v>
          </cell>
          <cell r="G17">
            <v>2236565</v>
          </cell>
          <cell r="H17">
            <v>1795090</v>
          </cell>
          <cell r="I17">
            <v>1481595</v>
          </cell>
          <cell r="J17">
            <v>1238451</v>
          </cell>
          <cell r="K17">
            <v>1039185</v>
          </cell>
          <cell r="L17">
            <v>881032</v>
          </cell>
          <cell r="M17">
            <v>822623</v>
          </cell>
          <cell r="N17">
            <v>716545</v>
          </cell>
          <cell r="O17">
            <v>635428</v>
          </cell>
          <cell r="P17">
            <v>567686</v>
          </cell>
          <cell r="Q17">
            <v>542474</v>
          </cell>
          <cell r="R17">
            <v>483077</v>
          </cell>
          <cell r="S17">
            <v>457587</v>
          </cell>
          <cell r="T17">
            <v>449183</v>
          </cell>
          <cell r="U17">
            <v>408116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</sheetData>
      <sheetData sheetId="1">
        <row r="3">
          <cell r="A3" t="str">
            <v>GRADOS</v>
          </cell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</row>
        <row r="4">
          <cell r="Q4">
            <v>14661.333333333334</v>
          </cell>
        </row>
        <row r="5">
          <cell r="A5" t="str">
            <v>SUELDO BASE</v>
          </cell>
          <cell r="B5">
            <v>570233</v>
          </cell>
          <cell r="C5">
            <v>538208</v>
          </cell>
          <cell r="D5">
            <v>568260</v>
          </cell>
          <cell r="E5">
            <v>536109</v>
          </cell>
          <cell r="F5">
            <v>505782</v>
          </cell>
          <cell r="G5">
            <v>477115</v>
          </cell>
          <cell r="H5">
            <v>439783</v>
          </cell>
          <cell r="I5">
            <v>407171</v>
          </cell>
          <cell r="J5">
            <v>376973</v>
          </cell>
          <cell r="K5">
            <v>349075</v>
          </cell>
          <cell r="L5">
            <v>323239</v>
          </cell>
          <cell r="M5">
            <v>299296</v>
          </cell>
          <cell r="N5">
            <v>277115</v>
          </cell>
          <cell r="O5">
            <v>256546</v>
          </cell>
          <cell r="P5">
            <v>237559</v>
          </cell>
          <cell r="Q5">
            <v>219920</v>
          </cell>
          <cell r="R5">
            <v>203637</v>
          </cell>
          <cell r="S5">
            <v>188558</v>
          </cell>
          <cell r="T5">
            <v>176227</v>
          </cell>
          <cell r="U5">
            <v>164705</v>
          </cell>
        </row>
        <row r="6">
          <cell r="A6" t="str">
            <v>DL 3501</v>
          </cell>
          <cell r="B6">
            <v>122600</v>
          </cell>
          <cell r="C6">
            <v>115715</v>
          </cell>
          <cell r="D6">
            <v>122176</v>
          </cell>
          <cell r="E6">
            <v>115263</v>
          </cell>
          <cell r="F6">
            <v>108743</v>
          </cell>
          <cell r="G6">
            <v>102580</v>
          </cell>
          <cell r="H6">
            <v>94553</v>
          </cell>
          <cell r="I6">
            <v>87542</v>
          </cell>
          <cell r="J6">
            <v>81049</v>
          </cell>
          <cell r="K6">
            <v>75051</v>
          </cell>
          <cell r="L6">
            <v>69496</v>
          </cell>
          <cell r="M6">
            <v>64349</v>
          </cell>
          <cell r="N6">
            <v>59580</v>
          </cell>
          <cell r="O6">
            <v>55157</v>
          </cell>
          <cell r="P6">
            <v>51075</v>
          </cell>
          <cell r="Q6">
            <v>47283</v>
          </cell>
          <cell r="R6">
            <v>43782</v>
          </cell>
          <cell r="S6">
            <v>40540</v>
          </cell>
          <cell r="T6">
            <v>35245</v>
          </cell>
          <cell r="U6">
            <v>32941</v>
          </cell>
        </row>
        <row r="7">
          <cell r="A7" t="str">
            <v>ASIG MUNICIPAL</v>
          </cell>
          <cell r="B7">
            <v>2117925</v>
          </cell>
          <cell r="C7">
            <v>2026239</v>
          </cell>
          <cell r="D7">
            <v>1670839</v>
          </cell>
          <cell r="E7">
            <v>1621078</v>
          </cell>
          <cell r="F7">
            <v>1393279</v>
          </cell>
          <cell r="G7">
            <v>1177427</v>
          </cell>
          <cell r="H7">
            <v>882984</v>
          </cell>
          <cell r="I7">
            <v>677948</v>
          </cell>
          <cell r="J7">
            <v>520921</v>
          </cell>
          <cell r="K7">
            <v>393759</v>
          </cell>
          <cell r="L7">
            <v>297529</v>
          </cell>
          <cell r="M7">
            <v>219615</v>
          </cell>
          <cell r="N7">
            <v>163426</v>
          </cell>
          <cell r="O7">
            <v>123449</v>
          </cell>
          <cell r="P7">
            <v>99156</v>
          </cell>
          <cell r="Q7">
            <v>97382</v>
          </cell>
          <cell r="R7">
            <v>75293</v>
          </cell>
          <cell r="S7">
            <v>72916</v>
          </cell>
          <cell r="T7">
            <v>79750</v>
          </cell>
          <cell r="U7">
            <v>62820</v>
          </cell>
        </row>
        <row r="8">
          <cell r="A8" t="str">
            <v xml:space="preserve">ASIG.ZONA </v>
          </cell>
          <cell r="B8">
            <v>159665</v>
          </cell>
          <cell r="C8">
            <v>150698</v>
          </cell>
          <cell r="D8">
            <v>159113</v>
          </cell>
          <cell r="E8">
            <v>150111</v>
          </cell>
          <cell r="F8">
            <v>141619</v>
          </cell>
          <cell r="G8">
            <v>133592</v>
          </cell>
          <cell r="H8">
            <v>123139</v>
          </cell>
          <cell r="I8">
            <v>114008</v>
          </cell>
          <cell r="J8">
            <v>105552</v>
          </cell>
          <cell r="K8">
            <v>97741</v>
          </cell>
          <cell r="L8">
            <v>90507</v>
          </cell>
          <cell r="M8">
            <v>83803</v>
          </cell>
          <cell r="N8">
            <v>77592</v>
          </cell>
          <cell r="O8">
            <v>71833</v>
          </cell>
          <cell r="P8">
            <v>66517</v>
          </cell>
          <cell r="Q8">
            <v>61578</v>
          </cell>
          <cell r="R8">
            <v>57018</v>
          </cell>
          <cell r="S8">
            <v>52796</v>
          </cell>
          <cell r="T8">
            <v>49344</v>
          </cell>
          <cell r="U8">
            <v>46117</v>
          </cell>
        </row>
        <row r="9">
          <cell r="A9" t="str">
            <v>ART. 10 LEY 18675</v>
          </cell>
          <cell r="B9">
            <v>189299</v>
          </cell>
          <cell r="C9">
            <v>194530</v>
          </cell>
          <cell r="D9">
            <v>195249</v>
          </cell>
          <cell r="E9">
            <v>199791</v>
          </cell>
          <cell r="F9">
            <v>204351</v>
          </cell>
          <cell r="G9">
            <v>228416</v>
          </cell>
          <cell r="H9">
            <v>157509</v>
          </cell>
          <cell r="I9">
            <v>120140</v>
          </cell>
          <cell r="J9">
            <v>91596</v>
          </cell>
          <cell r="K9">
            <v>68454</v>
          </cell>
          <cell r="L9">
            <v>51022</v>
          </cell>
          <cell r="M9">
            <v>43152</v>
          </cell>
          <cell r="N9">
            <v>31857</v>
          </cell>
          <cell r="O9">
            <v>24020</v>
          </cell>
          <cell r="P9">
            <v>18628</v>
          </cell>
          <cell r="Q9">
            <v>18143</v>
          </cell>
          <cell r="R9">
            <v>13074</v>
          </cell>
          <cell r="S9">
            <v>11956</v>
          </cell>
          <cell r="T9">
            <v>12121</v>
          </cell>
          <cell r="U9">
            <v>8182</v>
          </cell>
        </row>
        <row r="10">
          <cell r="A10" t="str">
            <v>Asig Unica Ley 18,717</v>
          </cell>
          <cell r="B10">
            <v>17628</v>
          </cell>
          <cell r="C10">
            <v>17628</v>
          </cell>
          <cell r="D10">
            <v>17628</v>
          </cell>
          <cell r="E10">
            <v>17628</v>
          </cell>
          <cell r="F10">
            <v>17628</v>
          </cell>
          <cell r="G10">
            <v>17628</v>
          </cell>
          <cell r="H10">
            <v>17628</v>
          </cell>
          <cell r="I10">
            <v>17628</v>
          </cell>
          <cell r="J10">
            <v>17628</v>
          </cell>
          <cell r="K10">
            <v>17628</v>
          </cell>
          <cell r="L10">
            <v>17628</v>
          </cell>
          <cell r="M10">
            <v>65600</v>
          </cell>
          <cell r="N10">
            <v>63659</v>
          </cell>
          <cell r="O10">
            <v>63151</v>
          </cell>
          <cell r="P10">
            <v>54382</v>
          </cell>
          <cell r="Q10">
            <v>57296</v>
          </cell>
          <cell r="R10">
            <v>53304</v>
          </cell>
          <cell r="S10">
            <v>53304</v>
          </cell>
          <cell r="T10">
            <v>55559</v>
          </cell>
          <cell r="U10">
            <v>53378</v>
          </cell>
        </row>
        <row r="11">
          <cell r="A11" t="str">
            <v>Bonif.Salud Ley 18,566</v>
          </cell>
          <cell r="B11">
            <v>85755</v>
          </cell>
          <cell r="C11">
            <v>88469</v>
          </cell>
          <cell r="D11">
            <v>88824</v>
          </cell>
          <cell r="E11">
            <v>91170</v>
          </cell>
          <cell r="F11">
            <v>93555</v>
          </cell>
          <cell r="G11">
            <v>87044</v>
          </cell>
          <cell r="H11">
            <v>64917</v>
          </cell>
          <cell r="I11">
            <v>49531</v>
          </cell>
          <cell r="J11">
            <v>37756</v>
          </cell>
          <cell r="K11">
            <v>28237</v>
          </cell>
          <cell r="L11">
            <v>21019</v>
          </cell>
          <cell r="M11">
            <v>16790</v>
          </cell>
          <cell r="N11">
            <v>12115</v>
          </cell>
          <cell r="O11">
            <v>8957</v>
          </cell>
          <cell r="P11">
            <v>7009</v>
          </cell>
          <cell r="Q11">
            <v>6808</v>
          </cell>
          <cell r="R11">
            <v>4882</v>
          </cell>
          <cell r="S11">
            <v>4413</v>
          </cell>
          <cell r="T11">
            <v>4484</v>
          </cell>
          <cell r="U11">
            <v>2920</v>
          </cell>
        </row>
        <row r="12">
          <cell r="A12" t="str">
            <v>LEY 19529</v>
          </cell>
          <cell r="B12">
            <v>0</v>
          </cell>
          <cell r="C12">
            <v>0</v>
          </cell>
          <cell r="D12">
            <v>24181</v>
          </cell>
          <cell r="E12">
            <v>24181</v>
          </cell>
          <cell r="F12">
            <v>24181</v>
          </cell>
          <cell r="G12">
            <v>27807</v>
          </cell>
          <cell r="H12">
            <v>27807</v>
          </cell>
          <cell r="I12">
            <v>27807</v>
          </cell>
          <cell r="J12">
            <v>27807</v>
          </cell>
          <cell r="K12">
            <v>27807</v>
          </cell>
          <cell r="L12">
            <v>27807</v>
          </cell>
          <cell r="M12">
            <v>45940</v>
          </cell>
          <cell r="N12">
            <v>45940</v>
          </cell>
          <cell r="O12">
            <v>45940</v>
          </cell>
          <cell r="P12">
            <v>45940</v>
          </cell>
          <cell r="Q12">
            <v>45940</v>
          </cell>
          <cell r="R12">
            <v>45940</v>
          </cell>
          <cell r="S12">
            <v>45940</v>
          </cell>
          <cell r="T12">
            <v>45940</v>
          </cell>
          <cell r="U12">
            <v>45940</v>
          </cell>
        </row>
        <row r="13">
          <cell r="A13" t="str">
            <v>SUELDO  L 18695</v>
          </cell>
          <cell r="B13">
            <v>570233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LEY 19529</v>
          </cell>
          <cell r="B14">
            <v>2117925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LEY 20008 JUECES</v>
          </cell>
          <cell r="B15">
            <v>0</v>
          </cell>
          <cell r="C15">
            <v>0</v>
          </cell>
          <cell r="D15">
            <v>671729.7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 t="str">
            <v>ART. 5 LEY 20008 JUECES</v>
          </cell>
          <cell r="B16">
            <v>0</v>
          </cell>
          <cell r="C16">
            <v>0</v>
          </cell>
          <cell r="D16">
            <v>447819.80000000005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TOTAL BRUTO</v>
          </cell>
          <cell r="B17">
            <v>5951263</v>
          </cell>
          <cell r="C17">
            <v>3131487</v>
          </cell>
          <cell r="D17">
            <v>2846270</v>
          </cell>
          <cell r="E17">
            <v>2755331</v>
          </cell>
          <cell r="F17">
            <v>2489138</v>
          </cell>
          <cell r="G17">
            <v>2251609</v>
          </cell>
          <cell r="H17">
            <v>1808320</v>
          </cell>
          <cell r="I17">
            <v>1501775</v>
          </cell>
          <cell r="J17">
            <v>1259282</v>
          </cell>
          <cell r="K17">
            <v>1057752</v>
          </cell>
          <cell r="L17">
            <v>898247</v>
          </cell>
          <cell r="M17">
            <v>838545</v>
          </cell>
          <cell r="N17">
            <v>731284</v>
          </cell>
          <cell r="O17">
            <v>649053</v>
          </cell>
          <cell r="P17">
            <v>580266</v>
          </cell>
          <cell r="Q17">
            <v>554350</v>
          </cell>
          <cell r="R17">
            <v>496930</v>
          </cell>
          <cell r="S17">
            <v>470423</v>
          </cell>
          <cell r="T17">
            <v>458670</v>
          </cell>
          <cell r="U17">
            <v>417003</v>
          </cell>
        </row>
        <row r="33">
          <cell r="J33" t="str">
            <v>GRADO</v>
          </cell>
          <cell r="K33" t="str">
            <v>COMPONENTES BONIFICACIÓN</v>
          </cell>
          <cell r="L33">
            <v>0</v>
          </cell>
          <cell r="M33">
            <v>0</v>
          </cell>
          <cell r="N33">
            <v>0</v>
          </cell>
          <cell r="O33" t="str">
            <v>BASE</v>
          </cell>
          <cell r="P33">
            <v>0.253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J34">
            <v>0</v>
          </cell>
          <cell r="K34" t="str">
            <v>S. BASE</v>
          </cell>
          <cell r="L34" t="str">
            <v>A. MUNIC.</v>
          </cell>
          <cell r="M34" t="str">
            <v>L. 18717</v>
          </cell>
          <cell r="N34" t="str">
            <v>L. 19529</v>
          </cell>
          <cell r="O34" t="str">
            <v>CÁLCULO</v>
          </cell>
          <cell r="P34" t="str">
            <v>MENSUAL</v>
          </cell>
          <cell r="Q34">
            <v>0.125</v>
          </cell>
          <cell r="R34">
            <v>6.8000000000000005E-2</v>
          </cell>
          <cell r="S34">
            <v>0.06</v>
          </cell>
          <cell r="T34">
            <v>0.253</v>
          </cell>
        </row>
        <row r="35">
          <cell r="J35">
            <v>1</v>
          </cell>
          <cell r="K35">
            <v>570233</v>
          </cell>
          <cell r="L35">
            <v>2117925</v>
          </cell>
          <cell r="M35">
            <v>17628</v>
          </cell>
          <cell r="N35">
            <v>0</v>
          </cell>
          <cell r="O35">
            <v>2705786</v>
          </cell>
          <cell r="P35">
            <v>684564</v>
          </cell>
          <cell r="Q35">
            <v>1014670</v>
          </cell>
          <cell r="R35">
            <v>551980</v>
          </cell>
          <cell r="S35">
            <v>487041</v>
          </cell>
          <cell r="T35">
            <v>2053691</v>
          </cell>
        </row>
        <row r="36">
          <cell r="J36">
            <v>2</v>
          </cell>
          <cell r="K36">
            <v>538208</v>
          </cell>
          <cell r="L36">
            <v>2026239</v>
          </cell>
          <cell r="M36">
            <v>17628</v>
          </cell>
          <cell r="N36">
            <v>0</v>
          </cell>
          <cell r="O36">
            <v>2582075</v>
          </cell>
          <cell r="P36">
            <v>653265</v>
          </cell>
          <cell r="Q36">
            <v>968278</v>
          </cell>
          <cell r="R36">
            <v>526743</v>
          </cell>
          <cell r="S36">
            <v>464774</v>
          </cell>
          <cell r="T36">
            <v>1959795</v>
          </cell>
        </row>
        <row r="37">
          <cell r="J37">
            <v>3</v>
          </cell>
          <cell r="K37">
            <v>568260</v>
          </cell>
          <cell r="L37">
            <v>1670839</v>
          </cell>
          <cell r="M37">
            <v>17628</v>
          </cell>
          <cell r="N37">
            <v>24181</v>
          </cell>
          <cell r="O37">
            <v>2280908</v>
          </cell>
          <cell r="P37">
            <v>577070</v>
          </cell>
          <cell r="Q37">
            <v>855341</v>
          </cell>
          <cell r="R37">
            <v>465305</v>
          </cell>
          <cell r="S37">
            <v>410563</v>
          </cell>
          <cell r="T37">
            <v>1731209</v>
          </cell>
        </row>
        <row r="38">
          <cell r="J38">
            <v>4</v>
          </cell>
          <cell r="K38">
            <v>536109</v>
          </cell>
          <cell r="L38">
            <v>1621078</v>
          </cell>
          <cell r="M38">
            <v>17628</v>
          </cell>
          <cell r="N38">
            <v>24181</v>
          </cell>
          <cell r="O38">
            <v>2198996</v>
          </cell>
          <cell r="P38">
            <v>556346</v>
          </cell>
          <cell r="Q38">
            <v>824624</v>
          </cell>
          <cell r="R38">
            <v>448595</v>
          </cell>
          <cell r="S38">
            <v>395819</v>
          </cell>
          <cell r="T38">
            <v>1669038</v>
          </cell>
        </row>
        <row r="39">
          <cell r="J39">
            <v>5</v>
          </cell>
          <cell r="K39">
            <v>505782</v>
          </cell>
          <cell r="L39">
            <v>1393279</v>
          </cell>
          <cell r="M39">
            <v>17628</v>
          </cell>
          <cell r="N39">
            <v>24181</v>
          </cell>
          <cell r="O39">
            <v>1940870</v>
          </cell>
          <cell r="P39">
            <v>491040</v>
          </cell>
          <cell r="Q39">
            <v>727826</v>
          </cell>
          <cell r="R39">
            <v>395937</v>
          </cell>
          <cell r="S39">
            <v>349357</v>
          </cell>
          <cell r="T39">
            <v>1473120</v>
          </cell>
        </row>
        <row r="40">
          <cell r="J40">
            <v>6</v>
          </cell>
          <cell r="K40">
            <v>477115</v>
          </cell>
          <cell r="L40">
            <v>1177427</v>
          </cell>
          <cell r="M40">
            <v>17628</v>
          </cell>
          <cell r="N40">
            <v>27807</v>
          </cell>
          <cell r="O40">
            <v>1699977</v>
          </cell>
          <cell r="P40">
            <v>430094</v>
          </cell>
          <cell r="Q40">
            <v>637491</v>
          </cell>
          <cell r="R40">
            <v>346795</v>
          </cell>
          <cell r="S40">
            <v>305996</v>
          </cell>
          <cell r="T40">
            <v>1290282</v>
          </cell>
        </row>
        <row r="41">
          <cell r="J41">
            <v>7</v>
          </cell>
          <cell r="K41">
            <v>439783</v>
          </cell>
          <cell r="L41">
            <v>882984</v>
          </cell>
          <cell r="M41">
            <v>17628</v>
          </cell>
          <cell r="N41">
            <v>27807</v>
          </cell>
          <cell r="O41">
            <v>1368202</v>
          </cell>
          <cell r="P41">
            <v>346155</v>
          </cell>
          <cell r="Q41">
            <v>513076</v>
          </cell>
          <cell r="R41">
            <v>279113</v>
          </cell>
          <cell r="S41">
            <v>246276</v>
          </cell>
          <cell r="T41">
            <v>1038465</v>
          </cell>
        </row>
        <row r="42">
          <cell r="J42">
            <v>8</v>
          </cell>
          <cell r="K42">
            <v>407171</v>
          </cell>
          <cell r="L42">
            <v>677948</v>
          </cell>
          <cell r="M42">
            <v>17628</v>
          </cell>
          <cell r="N42">
            <v>27807</v>
          </cell>
          <cell r="O42">
            <v>1130554</v>
          </cell>
          <cell r="P42">
            <v>286030</v>
          </cell>
          <cell r="Q42">
            <v>423958</v>
          </cell>
          <cell r="R42">
            <v>230633</v>
          </cell>
          <cell r="S42">
            <v>203500</v>
          </cell>
          <cell r="T42">
            <v>858091</v>
          </cell>
        </row>
        <row r="43">
          <cell r="J43">
            <v>9</v>
          </cell>
          <cell r="K43">
            <v>376973</v>
          </cell>
          <cell r="L43">
            <v>520921</v>
          </cell>
          <cell r="M43">
            <v>17628</v>
          </cell>
          <cell r="N43">
            <v>27807</v>
          </cell>
          <cell r="O43">
            <v>943329</v>
          </cell>
          <cell r="P43">
            <v>238662</v>
          </cell>
          <cell r="Q43">
            <v>353748</v>
          </cell>
          <cell r="R43">
            <v>192439</v>
          </cell>
          <cell r="S43">
            <v>169799</v>
          </cell>
          <cell r="T43">
            <v>715986</v>
          </cell>
        </row>
        <row r="44">
          <cell r="J44">
            <v>10</v>
          </cell>
          <cell r="K44">
            <v>349075</v>
          </cell>
          <cell r="L44">
            <v>393759</v>
          </cell>
          <cell r="M44">
            <v>17628</v>
          </cell>
          <cell r="N44">
            <v>27807</v>
          </cell>
          <cell r="O44">
            <v>788269</v>
          </cell>
          <cell r="P44">
            <v>199432</v>
          </cell>
          <cell r="Q44">
            <v>295601</v>
          </cell>
          <cell r="R44">
            <v>160807</v>
          </cell>
          <cell r="S44">
            <v>141888</v>
          </cell>
          <cell r="T44">
            <v>598296</v>
          </cell>
        </row>
        <row r="45">
          <cell r="J45">
            <v>11</v>
          </cell>
          <cell r="K45">
            <v>323239</v>
          </cell>
          <cell r="L45">
            <v>297529</v>
          </cell>
          <cell r="M45">
            <v>17628</v>
          </cell>
          <cell r="N45">
            <v>27807</v>
          </cell>
          <cell r="O45">
            <v>666203</v>
          </cell>
          <cell r="P45">
            <v>168549</v>
          </cell>
          <cell r="Q45">
            <v>249826</v>
          </cell>
          <cell r="R45">
            <v>135905</v>
          </cell>
          <cell r="S45">
            <v>119917</v>
          </cell>
          <cell r="T45">
            <v>505648</v>
          </cell>
        </row>
        <row r="46">
          <cell r="J46">
            <v>12</v>
          </cell>
          <cell r="K46">
            <v>299296</v>
          </cell>
          <cell r="L46">
            <v>219615</v>
          </cell>
          <cell r="M46">
            <v>65600</v>
          </cell>
          <cell r="N46">
            <v>45940</v>
          </cell>
          <cell r="O46">
            <v>630451</v>
          </cell>
          <cell r="P46">
            <v>159504</v>
          </cell>
          <cell r="Q46">
            <v>236419</v>
          </cell>
          <cell r="R46">
            <v>128612</v>
          </cell>
          <cell r="S46">
            <v>113481</v>
          </cell>
          <cell r="T46">
            <v>478512</v>
          </cell>
        </row>
        <row r="47">
          <cell r="J47">
            <v>13</v>
          </cell>
          <cell r="K47">
            <v>277115</v>
          </cell>
          <cell r="L47">
            <v>163426</v>
          </cell>
          <cell r="M47">
            <v>63659</v>
          </cell>
          <cell r="N47">
            <v>45940</v>
          </cell>
          <cell r="O47">
            <v>550140</v>
          </cell>
          <cell r="P47">
            <v>139185</v>
          </cell>
          <cell r="Q47">
            <v>206303</v>
          </cell>
          <cell r="R47">
            <v>112229</v>
          </cell>
          <cell r="S47">
            <v>99025</v>
          </cell>
          <cell r="T47">
            <v>417557</v>
          </cell>
        </row>
        <row r="48">
          <cell r="J48">
            <v>14</v>
          </cell>
          <cell r="K48">
            <v>256546</v>
          </cell>
          <cell r="L48">
            <v>123449</v>
          </cell>
          <cell r="M48">
            <v>63151</v>
          </cell>
          <cell r="N48">
            <v>45940</v>
          </cell>
          <cell r="O48">
            <v>489086</v>
          </cell>
          <cell r="P48">
            <v>123739</v>
          </cell>
          <cell r="Q48">
            <v>183407</v>
          </cell>
          <cell r="R48">
            <v>99774</v>
          </cell>
          <cell r="S48">
            <v>88035</v>
          </cell>
          <cell r="T48">
            <v>371216</v>
          </cell>
        </row>
        <row r="49">
          <cell r="J49">
            <v>15</v>
          </cell>
          <cell r="K49">
            <v>237559</v>
          </cell>
          <cell r="L49">
            <v>99156</v>
          </cell>
          <cell r="M49">
            <v>54382</v>
          </cell>
          <cell r="N49">
            <v>45940</v>
          </cell>
          <cell r="O49">
            <v>437037</v>
          </cell>
          <cell r="P49">
            <v>110570</v>
          </cell>
          <cell r="Q49">
            <v>163889</v>
          </cell>
          <cell r="R49">
            <v>89156</v>
          </cell>
          <cell r="S49">
            <v>78667</v>
          </cell>
          <cell r="T49">
            <v>331712</v>
          </cell>
        </row>
        <row r="50">
          <cell r="J50">
            <v>16</v>
          </cell>
          <cell r="K50">
            <v>219920</v>
          </cell>
          <cell r="L50">
            <v>97382</v>
          </cell>
          <cell r="M50">
            <v>57296</v>
          </cell>
          <cell r="N50">
            <v>45940</v>
          </cell>
          <cell r="O50">
            <v>420538</v>
          </cell>
          <cell r="P50">
            <v>106396</v>
          </cell>
          <cell r="Q50">
            <v>157702</v>
          </cell>
          <cell r="R50">
            <v>85790</v>
          </cell>
          <cell r="S50">
            <v>75697</v>
          </cell>
          <cell r="T50">
            <v>319189</v>
          </cell>
        </row>
        <row r="51">
          <cell r="J51">
            <v>17</v>
          </cell>
          <cell r="K51">
            <v>203637</v>
          </cell>
          <cell r="L51">
            <v>75293</v>
          </cell>
          <cell r="M51">
            <v>53304</v>
          </cell>
          <cell r="N51">
            <v>45940</v>
          </cell>
          <cell r="O51">
            <v>378174</v>
          </cell>
          <cell r="P51">
            <v>95678</v>
          </cell>
          <cell r="Q51">
            <v>141815</v>
          </cell>
          <cell r="R51">
            <v>77147</v>
          </cell>
          <cell r="S51">
            <v>68071</v>
          </cell>
          <cell r="T51">
            <v>287033</v>
          </cell>
        </row>
        <row r="52">
          <cell r="J52">
            <v>18</v>
          </cell>
          <cell r="K52">
            <v>188558</v>
          </cell>
          <cell r="L52">
            <v>72916</v>
          </cell>
          <cell r="M52">
            <v>53304</v>
          </cell>
          <cell r="N52">
            <v>45940</v>
          </cell>
          <cell r="O52">
            <v>360718</v>
          </cell>
          <cell r="P52">
            <v>91262</v>
          </cell>
          <cell r="Q52">
            <v>135269</v>
          </cell>
          <cell r="R52">
            <v>73586</v>
          </cell>
          <cell r="S52">
            <v>64929</v>
          </cell>
          <cell r="T52">
            <v>273784</v>
          </cell>
        </row>
        <row r="53">
          <cell r="J53">
            <v>19</v>
          </cell>
          <cell r="K53">
            <v>176227</v>
          </cell>
          <cell r="L53">
            <v>79750</v>
          </cell>
          <cell r="M53">
            <v>55559</v>
          </cell>
          <cell r="N53">
            <v>45940</v>
          </cell>
          <cell r="O53">
            <v>357476</v>
          </cell>
          <cell r="P53">
            <v>90441</v>
          </cell>
          <cell r="Q53">
            <v>134054</v>
          </cell>
          <cell r="R53">
            <v>72925</v>
          </cell>
          <cell r="S53">
            <v>64346</v>
          </cell>
          <cell r="T53">
            <v>271325</v>
          </cell>
        </row>
        <row r="54">
          <cell r="J54">
            <v>20</v>
          </cell>
          <cell r="K54">
            <v>164705</v>
          </cell>
          <cell r="L54">
            <v>62820</v>
          </cell>
          <cell r="M54">
            <v>53378</v>
          </cell>
          <cell r="N54">
            <v>45940</v>
          </cell>
          <cell r="O54">
            <v>326843</v>
          </cell>
          <cell r="P54">
            <v>82691</v>
          </cell>
          <cell r="Q54">
            <v>122566</v>
          </cell>
          <cell r="R54">
            <v>66676</v>
          </cell>
          <cell r="S54">
            <v>58832</v>
          </cell>
          <cell r="T54">
            <v>248074</v>
          </cell>
        </row>
      </sheetData>
      <sheetData sheetId="2"/>
      <sheetData sheetId="3"/>
      <sheetData sheetId="4"/>
      <sheetData sheetId="5">
        <row r="35">
          <cell r="J35">
            <v>1</v>
          </cell>
          <cell r="K35">
            <v>593613</v>
          </cell>
          <cell r="L35">
            <v>2204760</v>
          </cell>
          <cell r="M35">
            <v>18351</v>
          </cell>
          <cell r="N35">
            <v>0</v>
          </cell>
          <cell r="O35">
            <v>2816724</v>
          </cell>
          <cell r="P35">
            <v>861918</v>
          </cell>
          <cell r="Q35">
            <v>1267526</v>
          </cell>
          <cell r="R35">
            <v>642213</v>
          </cell>
          <cell r="S35">
            <v>676014</v>
          </cell>
          <cell r="T35">
            <v>2585753</v>
          </cell>
        </row>
        <row r="36">
          <cell r="J36">
            <v>2</v>
          </cell>
          <cell r="K36">
            <v>560275</v>
          </cell>
          <cell r="L36">
            <v>2109315</v>
          </cell>
          <cell r="M36">
            <v>18351</v>
          </cell>
          <cell r="N36">
            <v>0</v>
          </cell>
          <cell r="O36">
            <v>2687941</v>
          </cell>
          <cell r="P36">
            <v>822510</v>
          </cell>
          <cell r="Q36">
            <v>1209573</v>
          </cell>
          <cell r="R36">
            <v>612851</v>
          </cell>
          <cell r="S36">
            <v>645106</v>
          </cell>
          <cell r="T36">
            <v>2467530</v>
          </cell>
        </row>
        <row r="37">
          <cell r="J37">
            <v>3</v>
          </cell>
          <cell r="K37">
            <v>591559</v>
          </cell>
          <cell r="L37">
            <v>1739343</v>
          </cell>
          <cell r="M37">
            <v>18351</v>
          </cell>
          <cell r="N37">
            <v>25172</v>
          </cell>
          <cell r="O37">
            <v>2374425</v>
          </cell>
          <cell r="P37">
            <v>726574</v>
          </cell>
          <cell r="Q37">
            <v>1068491</v>
          </cell>
          <cell r="R37">
            <v>541369</v>
          </cell>
          <cell r="S37">
            <v>569862</v>
          </cell>
          <cell r="T37">
            <v>2179722</v>
          </cell>
        </row>
        <row r="38">
          <cell r="J38">
            <v>4</v>
          </cell>
          <cell r="K38">
            <v>558089</v>
          </cell>
          <cell r="L38">
            <v>1687542</v>
          </cell>
          <cell r="M38">
            <v>18351</v>
          </cell>
          <cell r="N38">
            <v>25172</v>
          </cell>
          <cell r="O38">
            <v>2289154</v>
          </cell>
          <cell r="P38">
            <v>700481</v>
          </cell>
          <cell r="Q38">
            <v>1030119</v>
          </cell>
          <cell r="R38">
            <v>521927</v>
          </cell>
          <cell r="S38">
            <v>549397</v>
          </cell>
          <cell r="T38">
            <v>2101443</v>
          </cell>
        </row>
        <row r="39">
          <cell r="J39">
            <v>5</v>
          </cell>
          <cell r="K39">
            <v>526519</v>
          </cell>
          <cell r="L39">
            <v>1450403</v>
          </cell>
          <cell r="M39">
            <v>18351</v>
          </cell>
          <cell r="N39">
            <v>25172</v>
          </cell>
          <cell r="O39">
            <v>2020445</v>
          </cell>
          <cell r="P39">
            <v>618256</v>
          </cell>
          <cell r="Q39">
            <v>909200</v>
          </cell>
          <cell r="R39">
            <v>460661</v>
          </cell>
          <cell r="S39">
            <v>484907</v>
          </cell>
          <cell r="T39">
            <v>1854768</v>
          </cell>
        </row>
        <row r="40">
          <cell r="J40">
            <v>6</v>
          </cell>
          <cell r="K40">
            <v>496677</v>
          </cell>
          <cell r="L40">
            <v>1225702</v>
          </cell>
          <cell r="M40">
            <v>18351</v>
          </cell>
          <cell r="N40">
            <v>28947</v>
          </cell>
          <cell r="O40">
            <v>1769677</v>
          </cell>
          <cell r="P40">
            <v>541521</v>
          </cell>
          <cell r="Q40">
            <v>796355</v>
          </cell>
          <cell r="R40">
            <v>403486</v>
          </cell>
          <cell r="S40">
            <v>424722</v>
          </cell>
          <cell r="T40">
            <v>1624563</v>
          </cell>
        </row>
        <row r="41">
          <cell r="J41">
            <v>7</v>
          </cell>
          <cell r="K41">
            <v>457814</v>
          </cell>
          <cell r="L41">
            <v>919186</v>
          </cell>
          <cell r="M41">
            <v>18351</v>
          </cell>
          <cell r="N41">
            <v>28947</v>
          </cell>
          <cell r="O41">
            <v>1424298</v>
          </cell>
          <cell r="P41">
            <v>435835</v>
          </cell>
          <cell r="Q41">
            <v>640934</v>
          </cell>
          <cell r="R41">
            <v>324740</v>
          </cell>
          <cell r="S41">
            <v>341832</v>
          </cell>
          <cell r="T41">
            <v>1307506</v>
          </cell>
        </row>
        <row r="42">
          <cell r="J42">
            <v>8</v>
          </cell>
          <cell r="K42">
            <v>423865</v>
          </cell>
          <cell r="L42">
            <v>705744</v>
          </cell>
          <cell r="M42">
            <v>18351</v>
          </cell>
          <cell r="N42">
            <v>28947</v>
          </cell>
          <cell r="O42">
            <v>1176907</v>
          </cell>
          <cell r="P42">
            <v>360134</v>
          </cell>
          <cell r="Q42">
            <v>529608</v>
          </cell>
          <cell r="R42">
            <v>268335</v>
          </cell>
          <cell r="S42">
            <v>282458</v>
          </cell>
          <cell r="T42">
            <v>1080401</v>
          </cell>
        </row>
        <row r="43">
          <cell r="J43">
            <v>9</v>
          </cell>
          <cell r="K43">
            <v>392429</v>
          </cell>
          <cell r="L43">
            <v>542279</v>
          </cell>
          <cell r="M43">
            <v>18351</v>
          </cell>
          <cell r="N43">
            <v>28947</v>
          </cell>
          <cell r="O43">
            <v>982006</v>
          </cell>
          <cell r="P43">
            <v>300494</v>
          </cell>
          <cell r="Q43">
            <v>441903</v>
          </cell>
          <cell r="R43">
            <v>223897</v>
          </cell>
          <cell r="S43">
            <v>235681</v>
          </cell>
          <cell r="T43">
            <v>901481</v>
          </cell>
        </row>
        <row r="44">
          <cell r="J44">
            <v>10</v>
          </cell>
          <cell r="K44">
            <v>363387</v>
          </cell>
          <cell r="L44">
            <v>409903</v>
          </cell>
          <cell r="M44">
            <v>18351</v>
          </cell>
          <cell r="N44">
            <v>28947</v>
          </cell>
          <cell r="O44">
            <v>820588</v>
          </cell>
          <cell r="P44">
            <v>251100</v>
          </cell>
          <cell r="Q44">
            <v>369265</v>
          </cell>
          <cell r="R44">
            <v>187094</v>
          </cell>
          <cell r="S44">
            <v>196941</v>
          </cell>
          <cell r="T44">
            <v>753300</v>
          </cell>
        </row>
        <row r="45">
          <cell r="J45">
            <v>11</v>
          </cell>
          <cell r="K45">
            <v>336492</v>
          </cell>
          <cell r="L45">
            <v>309728</v>
          </cell>
          <cell r="M45">
            <v>18351</v>
          </cell>
          <cell r="N45">
            <v>28947</v>
          </cell>
          <cell r="O45">
            <v>693518</v>
          </cell>
          <cell r="P45">
            <v>212217</v>
          </cell>
          <cell r="Q45">
            <v>312083</v>
          </cell>
          <cell r="R45">
            <v>158122</v>
          </cell>
          <cell r="S45">
            <v>166444</v>
          </cell>
          <cell r="T45">
            <v>636649</v>
          </cell>
        </row>
        <row r="46">
          <cell r="J46">
            <v>12</v>
          </cell>
          <cell r="K46">
            <v>311567</v>
          </cell>
          <cell r="L46">
            <v>228619</v>
          </cell>
          <cell r="M46">
            <v>68290</v>
          </cell>
          <cell r="N46">
            <v>47824</v>
          </cell>
          <cell r="O46">
            <v>656300</v>
          </cell>
          <cell r="P46">
            <v>200828</v>
          </cell>
          <cell r="Q46">
            <v>295335</v>
          </cell>
          <cell r="R46">
            <v>149636</v>
          </cell>
          <cell r="S46">
            <v>157512</v>
          </cell>
          <cell r="T46">
            <v>602483</v>
          </cell>
        </row>
        <row r="47">
          <cell r="J47">
            <v>13</v>
          </cell>
          <cell r="K47">
            <v>288477</v>
          </cell>
          <cell r="L47">
            <v>170126</v>
          </cell>
          <cell r="M47">
            <v>66269</v>
          </cell>
          <cell r="N47">
            <v>47824</v>
          </cell>
          <cell r="O47">
            <v>572696</v>
          </cell>
          <cell r="P47">
            <v>175245</v>
          </cell>
          <cell r="Q47">
            <v>257713</v>
          </cell>
          <cell r="R47">
            <v>130575</v>
          </cell>
          <cell r="S47">
            <v>137447</v>
          </cell>
          <cell r="T47">
            <v>525735</v>
          </cell>
        </row>
        <row r="48">
          <cell r="J48">
            <v>14</v>
          </cell>
          <cell r="K48">
            <v>267064</v>
          </cell>
          <cell r="L48">
            <v>128510</v>
          </cell>
          <cell r="M48">
            <v>65740</v>
          </cell>
          <cell r="N48">
            <v>47824</v>
          </cell>
          <cell r="O48">
            <v>509138</v>
          </cell>
          <cell r="P48">
            <v>155796</v>
          </cell>
          <cell r="Q48">
            <v>229112</v>
          </cell>
          <cell r="R48">
            <v>116083</v>
          </cell>
          <cell r="S48">
            <v>122193</v>
          </cell>
          <cell r="T48">
            <v>467388</v>
          </cell>
        </row>
        <row r="49">
          <cell r="J49">
            <v>15</v>
          </cell>
          <cell r="K49">
            <v>247299</v>
          </cell>
          <cell r="L49">
            <v>103221</v>
          </cell>
          <cell r="M49">
            <v>56612</v>
          </cell>
          <cell r="N49">
            <v>47824</v>
          </cell>
          <cell r="O49">
            <v>454956</v>
          </cell>
          <cell r="P49">
            <v>139217</v>
          </cell>
          <cell r="Q49">
            <v>204730</v>
          </cell>
          <cell r="R49">
            <v>103730</v>
          </cell>
          <cell r="S49">
            <v>109189</v>
          </cell>
          <cell r="T49">
            <v>417649</v>
          </cell>
        </row>
        <row r="50">
          <cell r="J50">
            <v>16</v>
          </cell>
          <cell r="K50">
            <v>228937</v>
          </cell>
          <cell r="L50">
            <v>101375</v>
          </cell>
          <cell r="M50">
            <v>59645</v>
          </cell>
          <cell r="N50">
            <v>47824</v>
          </cell>
          <cell r="O50">
            <v>437781</v>
          </cell>
          <cell r="P50">
            <v>133961</v>
          </cell>
          <cell r="Q50">
            <v>197001</v>
          </cell>
          <cell r="R50">
            <v>99814</v>
          </cell>
          <cell r="S50">
            <v>105067</v>
          </cell>
          <cell r="T50">
            <v>401882</v>
          </cell>
        </row>
        <row r="51">
          <cell r="J51">
            <v>17</v>
          </cell>
          <cell r="K51">
            <v>211986</v>
          </cell>
          <cell r="L51">
            <v>78380</v>
          </cell>
          <cell r="M51">
            <v>55489</v>
          </cell>
          <cell r="N51">
            <v>47824</v>
          </cell>
          <cell r="O51">
            <v>393679</v>
          </cell>
          <cell r="P51">
            <v>120466</v>
          </cell>
          <cell r="Q51">
            <v>177156</v>
          </cell>
          <cell r="R51">
            <v>89759</v>
          </cell>
          <cell r="S51">
            <v>94483</v>
          </cell>
          <cell r="T51">
            <v>361398</v>
          </cell>
        </row>
        <row r="52">
          <cell r="J52">
            <v>18</v>
          </cell>
          <cell r="K52">
            <v>196289</v>
          </cell>
          <cell r="L52">
            <v>75906</v>
          </cell>
          <cell r="M52">
            <v>55489</v>
          </cell>
          <cell r="N52">
            <v>47824</v>
          </cell>
          <cell r="O52">
            <v>375508</v>
          </cell>
          <cell r="P52">
            <v>114905</v>
          </cell>
          <cell r="Q52">
            <v>168979</v>
          </cell>
          <cell r="R52">
            <v>85616</v>
          </cell>
          <cell r="S52">
            <v>90122</v>
          </cell>
          <cell r="T52">
            <v>344717</v>
          </cell>
        </row>
        <row r="53">
          <cell r="J53">
            <v>19</v>
          </cell>
          <cell r="K53">
            <v>183452</v>
          </cell>
          <cell r="L53">
            <v>83020</v>
          </cell>
          <cell r="M53">
            <v>57837</v>
          </cell>
          <cell r="N53">
            <v>47824</v>
          </cell>
          <cell r="O53">
            <v>372133</v>
          </cell>
          <cell r="P53">
            <v>113873</v>
          </cell>
          <cell r="Q53">
            <v>167460</v>
          </cell>
          <cell r="R53">
            <v>84846</v>
          </cell>
          <cell r="S53">
            <v>89312</v>
          </cell>
          <cell r="T53">
            <v>341618</v>
          </cell>
        </row>
        <row r="54">
          <cell r="J54">
            <v>20</v>
          </cell>
          <cell r="K54">
            <v>171458</v>
          </cell>
          <cell r="L54">
            <v>65396</v>
          </cell>
          <cell r="M54">
            <v>55566</v>
          </cell>
          <cell r="N54">
            <v>47824</v>
          </cell>
          <cell r="O54">
            <v>340244</v>
          </cell>
          <cell r="P54">
            <v>104115</v>
          </cell>
          <cell r="Q54">
            <v>153110</v>
          </cell>
          <cell r="R54">
            <v>77576</v>
          </cell>
          <cell r="S54">
            <v>81659</v>
          </cell>
          <cell r="T54">
            <v>312345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"/>
      <sheetName val="2006"/>
      <sheetName val="2007- NORMAL "/>
      <sheetName val="2007- LEY 20198"/>
      <sheetName val="2008"/>
      <sheetName val="2008 VIGENTES LEY 20,198"/>
      <sheetName val="ESC-PROPUESTA 2007 DIC"/>
      <sheetName val="ESC-PROPUESTA 2007"/>
      <sheetName val="HORAS EXTRAS 2008 VIGENTE LEY  "/>
      <sheetName val="HORAS EXTRAS 2006 "/>
      <sheetName val="HORAS EXTRAS 2007"/>
      <sheetName val="horas extras 2008"/>
      <sheetName val="HORAS EXTRAS  2007-LEY 20,198"/>
      <sheetName val="INCENTIVO-2006"/>
      <sheetName val="NUEVA BASE INCENTIVO 20,198"/>
      <sheetName val="dic-2008 hasta noviembre  2009"/>
      <sheetName val="DICIEMBRE 2009 HASTA  NOV-2010"/>
      <sheetName val="EMS 2011 DIC-10 HASTA NOVI-11"/>
      <sheetName val="EMS 2012 DIC11 HASTA NOV 12"/>
      <sheetName val="Tabla Homologada Oct.-Nov.2012"/>
      <sheetName val="Tabla Homologada Diciembre 2012"/>
      <sheetName val="Tabla Homologada Enero-Nov.2013"/>
      <sheetName val="Bonif. Ley 20008"/>
      <sheetName val="Hoja1"/>
      <sheetName val="Remun. 2014"/>
      <sheetName val="Tabla Dic.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8">
          <cell r="A8" t="str">
            <v>ASIG MUNICIPAL</v>
          </cell>
        </row>
        <row r="9">
          <cell r="A9" t="str">
            <v xml:space="preserve">ASIG.ZONA </v>
          </cell>
        </row>
        <row r="11">
          <cell r="A11" t="str">
            <v>Asig Unica Ley 18,717</v>
          </cell>
        </row>
        <row r="12">
          <cell r="A12" t="str">
            <v>Bonif.Salud Ley 18,566</v>
          </cell>
        </row>
        <row r="13">
          <cell r="A13" t="str">
            <v>LEY 19529</v>
          </cell>
        </row>
      </sheetData>
      <sheetData sheetId="18"/>
      <sheetData sheetId="19"/>
      <sheetData sheetId="20"/>
      <sheetData sheetId="21">
        <row r="32">
          <cell r="Q32">
            <v>243107</v>
          </cell>
        </row>
        <row r="33">
          <cell r="Q33">
            <v>231992</v>
          </cell>
        </row>
        <row r="34">
          <cell r="Q34">
            <v>204200</v>
          </cell>
        </row>
        <row r="35">
          <cell r="Q35">
            <v>196977</v>
          </cell>
        </row>
        <row r="36">
          <cell r="Q36">
            <v>173853</v>
          </cell>
        </row>
        <row r="37">
          <cell r="Q37">
            <v>150840</v>
          </cell>
        </row>
        <row r="38">
          <cell r="Q38">
            <v>121259</v>
          </cell>
        </row>
        <row r="39">
          <cell r="Q39">
            <v>99030</v>
          </cell>
        </row>
        <row r="40">
          <cell r="Q40">
            <v>82126</v>
          </cell>
        </row>
        <row r="41">
          <cell r="Q41">
            <v>68480</v>
          </cell>
        </row>
        <row r="42">
          <cell r="Q42">
            <v>57683</v>
          </cell>
        </row>
        <row r="43">
          <cell r="Q43">
            <v>54635</v>
          </cell>
        </row>
        <row r="44">
          <cell r="Q44">
            <v>47568</v>
          </cell>
        </row>
        <row r="45">
          <cell r="Q45">
            <v>42223</v>
          </cell>
        </row>
        <row r="46">
          <cell r="Q46">
            <v>37679</v>
          </cell>
        </row>
        <row r="47">
          <cell r="Q47">
            <v>36285</v>
          </cell>
        </row>
        <row r="48">
          <cell r="Q48">
            <v>32601</v>
          </cell>
        </row>
        <row r="49">
          <cell r="Q49">
            <v>31134</v>
          </cell>
        </row>
        <row r="50">
          <cell r="Q50">
            <v>30909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8"/>
  <sheetViews>
    <sheetView topLeftCell="D1" zoomScaleNormal="100" workbookViewId="0">
      <pane ySplit="3" topLeftCell="A25" activePane="bottomLeft" state="frozen"/>
      <selection activeCell="V43" sqref="V43:W52"/>
      <selection pane="bottomLeft" activeCell="W43" sqref="W43"/>
    </sheetView>
  </sheetViews>
  <sheetFormatPr baseColWidth="10" defaultRowHeight="11.25" x14ac:dyDescent="0.2"/>
  <cols>
    <col min="1" max="1" width="28.5703125" style="4" bestFit="1" customWidth="1"/>
    <col min="2" max="3" width="9.7109375" style="4" customWidth="1"/>
    <col min="4" max="5" width="10.42578125" style="4" customWidth="1"/>
    <col min="6" max="7" width="9.7109375" style="4" customWidth="1"/>
    <col min="8" max="8" width="9.85546875" style="4" customWidth="1"/>
    <col min="9" max="11" width="9.7109375" style="4" customWidth="1"/>
    <col min="12" max="12" width="9.7109375" style="5" customWidth="1"/>
    <col min="13" max="21" width="9.7109375" style="4" customWidth="1"/>
    <col min="22" max="22" width="8" style="4" customWidth="1"/>
    <col min="23" max="23" width="7.85546875" style="4" customWidth="1"/>
    <col min="24" max="24" width="9.42578125" style="4" bestFit="1" customWidth="1"/>
    <col min="25" max="26" width="9.28515625" style="4" bestFit="1" customWidth="1"/>
    <col min="27" max="27" width="11.42578125" style="4" bestFit="1" customWidth="1"/>
    <col min="28" max="28" width="9.7109375" style="4" customWidth="1"/>
    <col min="29" max="34" width="10.7109375" style="4" customWidth="1"/>
    <col min="35" max="35" width="13.7109375" style="7" customWidth="1"/>
    <col min="36" max="36" width="8.7109375" style="4" bestFit="1" customWidth="1"/>
    <col min="37" max="16384" width="11.42578125" style="4"/>
  </cols>
  <sheetData>
    <row r="1" spans="1:35" s="2" customFormat="1" ht="23.25" x14ac:dyDescent="0.3">
      <c r="A1" s="1">
        <v>1.0409999999999999</v>
      </c>
      <c r="B1" s="300" t="s">
        <v>0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AI1" s="3"/>
    </row>
    <row r="2" spans="1:35" x14ac:dyDescent="0.2">
      <c r="U2" s="6"/>
    </row>
    <row r="3" spans="1:35" s="9" customFormat="1" ht="12" x14ac:dyDescent="0.2">
      <c r="A3" s="8" t="s">
        <v>1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8</v>
      </c>
      <c r="J3" s="8">
        <v>9</v>
      </c>
      <c r="K3" s="8">
        <v>10</v>
      </c>
      <c r="L3" s="8">
        <v>11</v>
      </c>
      <c r="M3" s="8">
        <v>12</v>
      </c>
      <c r="N3" s="8">
        <v>13</v>
      </c>
      <c r="O3" s="8">
        <v>14</v>
      </c>
      <c r="P3" s="8">
        <v>15</v>
      </c>
      <c r="Q3" s="8">
        <v>16</v>
      </c>
      <c r="R3" s="8">
        <v>17</v>
      </c>
      <c r="S3" s="8">
        <v>18</v>
      </c>
      <c r="T3" s="8">
        <v>19</v>
      </c>
      <c r="U3" s="8">
        <v>20</v>
      </c>
    </row>
    <row r="5" spans="1:35" x14ac:dyDescent="0.2">
      <c r="A5" s="10" t="s">
        <v>2</v>
      </c>
      <c r="B5" s="11">
        <f>ROUND('[2]Tabla Homol.Enero-Nov.2015'!B5*'Tabla Homol.Dic.2015-Nov.2016'!$A$1,0)</f>
        <v>593613</v>
      </c>
      <c r="C5" s="11">
        <f>ROUND('[2]Tabla Homol.Enero-Nov.2015'!C5*'Tabla Homol.Dic.2015-Nov.2016'!$A$1,0)</f>
        <v>560275</v>
      </c>
      <c r="D5" s="11">
        <f>ROUND('[2]Tabla Homol.Enero-Nov.2015'!D5*'Tabla Homol.Dic.2015-Nov.2016'!$A$1,0)</f>
        <v>591559</v>
      </c>
      <c r="E5" s="11">
        <f>ROUND('[2]Tabla Homol.Enero-Nov.2015'!E5*'Tabla Homol.Dic.2015-Nov.2016'!$A$1,0)</f>
        <v>558089</v>
      </c>
      <c r="F5" s="11">
        <f>ROUND('[2]Tabla Homol.Enero-Nov.2015'!F5*'Tabla Homol.Dic.2015-Nov.2016'!$A$1,0)</f>
        <v>526519</v>
      </c>
      <c r="G5" s="11">
        <f>ROUND('[2]Tabla Homol.Enero-Nov.2015'!G5*'Tabla Homol.Dic.2015-Nov.2016'!$A$1,0)</f>
        <v>496677</v>
      </c>
      <c r="H5" s="11">
        <f>ROUND('[2]Tabla Homol.Enero-Nov.2015'!H5*'Tabla Homol.Dic.2015-Nov.2016'!$A$1,0)</f>
        <v>457814</v>
      </c>
      <c r="I5" s="11">
        <f>ROUND('[2]Tabla Homol.Enero-Nov.2015'!I5*'Tabla Homol.Dic.2015-Nov.2016'!$A$1,0)</f>
        <v>423865</v>
      </c>
      <c r="J5" s="11">
        <f>ROUND('[2]Tabla Homol.Enero-Nov.2015'!J5*'Tabla Homol.Dic.2015-Nov.2016'!$A$1,0)</f>
        <v>392429</v>
      </c>
      <c r="K5" s="11">
        <f>ROUND('[2]Tabla Homol.Enero-Nov.2015'!K5*'Tabla Homol.Dic.2015-Nov.2016'!$A$1,0)</f>
        <v>363387</v>
      </c>
      <c r="L5" s="11">
        <f>ROUND('[2]Tabla Homol.Enero-Nov.2015'!L5*'Tabla Homol.Dic.2015-Nov.2016'!$A$1,0)</f>
        <v>336492</v>
      </c>
      <c r="M5" s="11">
        <f>ROUND('[2]Tabla Homol.Enero-Nov.2015'!M5*'Tabla Homol.Dic.2015-Nov.2016'!$A$1,0)</f>
        <v>311567</v>
      </c>
      <c r="N5" s="11">
        <f>ROUND('[2]Tabla Homol.Enero-Nov.2015'!N5*'Tabla Homol.Dic.2015-Nov.2016'!$A$1,0)</f>
        <v>288477</v>
      </c>
      <c r="O5" s="11">
        <f>ROUND('[2]Tabla Homol.Enero-Nov.2015'!O5*'Tabla Homol.Dic.2015-Nov.2016'!$A$1,0)</f>
        <v>267064</v>
      </c>
      <c r="P5" s="11">
        <f>ROUND('[2]Tabla Homol.Enero-Nov.2015'!P5*'Tabla Homol.Dic.2015-Nov.2016'!$A$1,0)</f>
        <v>247299</v>
      </c>
      <c r="Q5" s="11">
        <f>ROUND('[2]Tabla Homol.Enero-Nov.2015'!Q5*'Tabla Homol.Dic.2015-Nov.2016'!$A$1,0)</f>
        <v>228937</v>
      </c>
      <c r="R5" s="11">
        <f>ROUND('[2]Tabla Homol.Enero-Nov.2015'!R5*'Tabla Homol.Dic.2015-Nov.2016'!$A$1,0)</f>
        <v>211986</v>
      </c>
      <c r="S5" s="11">
        <f>ROUND('[2]Tabla Homol.Enero-Nov.2015'!S5*'Tabla Homol.Dic.2015-Nov.2016'!$A$1,0)</f>
        <v>196289</v>
      </c>
      <c r="T5" s="11">
        <f>ROUND('[2]Tabla Homol.Enero-Nov.2015'!T5*'Tabla Homol.Dic.2015-Nov.2016'!$A$1,0)</f>
        <v>183452</v>
      </c>
      <c r="U5" s="11">
        <f>ROUND('[2]Tabla Homol.Enero-Nov.2015'!U5*'Tabla Homol.Dic.2015-Nov.2016'!$A$1,0)</f>
        <v>171458</v>
      </c>
      <c r="W5" s="12">
        <f>+M5-N5</f>
        <v>23090</v>
      </c>
      <c r="X5" s="12"/>
      <c r="Y5" s="12"/>
      <c r="Z5" s="12"/>
    </row>
    <row r="6" spans="1:35" s="15" customFormat="1" x14ac:dyDescent="0.2">
      <c r="A6" s="13" t="s">
        <v>3</v>
      </c>
      <c r="B6" s="14">
        <f>ROUND('[2]Tabla Homol.Enero-Nov.2015'!B6*'Tabla Homol.Dic.2015-Nov.2016'!$A$1,0)</f>
        <v>127627</v>
      </c>
      <c r="C6" s="14">
        <f>ROUND('[2]Tabla Homol.Enero-Nov.2015'!C6*'Tabla Homol.Dic.2015-Nov.2016'!$A$1,0)</f>
        <v>120459</v>
      </c>
      <c r="D6" s="14">
        <f>ROUND('[2]Tabla Homol.Enero-Nov.2015'!D6*'Tabla Homol.Dic.2015-Nov.2016'!$A$1,0)</f>
        <v>127185</v>
      </c>
      <c r="E6" s="14">
        <f>ROUND('[2]Tabla Homol.Enero-Nov.2015'!E6*'Tabla Homol.Dic.2015-Nov.2016'!$A$1,0)</f>
        <v>119989</v>
      </c>
      <c r="F6" s="14">
        <f>ROUND('[2]Tabla Homol.Enero-Nov.2015'!F6*'Tabla Homol.Dic.2015-Nov.2016'!$A$1,0)</f>
        <v>113201</v>
      </c>
      <c r="G6" s="14">
        <f>ROUND('[2]Tabla Homol.Enero-Nov.2015'!G6*'Tabla Homol.Dic.2015-Nov.2016'!$A$1,0)</f>
        <v>106786</v>
      </c>
      <c r="H6" s="14">
        <f>ROUND('[2]Tabla Homol.Enero-Nov.2015'!H6*'Tabla Homol.Dic.2015-Nov.2016'!$A$1,0)</f>
        <v>98430</v>
      </c>
      <c r="I6" s="14">
        <f>ROUND('[2]Tabla Homol.Enero-Nov.2015'!I6*'Tabla Homol.Dic.2015-Nov.2016'!$A$1,0)</f>
        <v>91131</v>
      </c>
      <c r="J6" s="14">
        <f>ROUND('[2]Tabla Homol.Enero-Nov.2015'!J6*'Tabla Homol.Dic.2015-Nov.2016'!$A$1,0)</f>
        <v>84372</v>
      </c>
      <c r="K6" s="14">
        <f>ROUND('[2]Tabla Homol.Enero-Nov.2015'!K6*'Tabla Homol.Dic.2015-Nov.2016'!$A$1,0)</f>
        <v>78128</v>
      </c>
      <c r="L6" s="14">
        <f>ROUND('[2]Tabla Homol.Enero-Nov.2015'!L6*'Tabla Homol.Dic.2015-Nov.2016'!$A$1,0)</f>
        <v>72345</v>
      </c>
      <c r="M6" s="14">
        <f>ROUND('[2]Tabla Homol.Enero-Nov.2015'!M6*'Tabla Homol.Dic.2015-Nov.2016'!$A$1,0)</f>
        <v>66987</v>
      </c>
      <c r="N6" s="14">
        <f>ROUND('[2]Tabla Homol.Enero-Nov.2015'!N6*'Tabla Homol.Dic.2015-Nov.2016'!$A$1,0)</f>
        <v>62023</v>
      </c>
      <c r="O6" s="14">
        <f>ROUND('[2]Tabla Homol.Enero-Nov.2015'!O6*'Tabla Homol.Dic.2015-Nov.2016'!$A$1,0)</f>
        <v>57418</v>
      </c>
      <c r="P6" s="14">
        <f>ROUND('[2]Tabla Homol.Enero-Nov.2015'!P6*'Tabla Homol.Dic.2015-Nov.2016'!$A$1,0)</f>
        <v>53169</v>
      </c>
      <c r="Q6" s="14">
        <f>ROUND('[2]Tabla Homol.Enero-Nov.2015'!Q6*'Tabla Homol.Dic.2015-Nov.2016'!$A$1,0)</f>
        <v>49222</v>
      </c>
      <c r="R6" s="14">
        <f>ROUND('[2]Tabla Homol.Enero-Nov.2015'!R6*'Tabla Homol.Dic.2015-Nov.2016'!$A$1,0)</f>
        <v>45577</v>
      </c>
      <c r="S6" s="14">
        <f>ROUND('[2]Tabla Homol.Enero-Nov.2015'!S6*'Tabla Homol.Dic.2015-Nov.2016'!$A$1,0)</f>
        <v>42202</v>
      </c>
      <c r="T6" s="14">
        <f>ROUND('[2]Tabla Homol.Enero-Nov.2015'!T6*'Tabla Homol.Dic.2015-Nov.2016'!$A$1,0)</f>
        <v>36690</v>
      </c>
      <c r="U6" s="14">
        <f>ROUND('[2]Tabla Homol.Enero-Nov.2015'!U6*'Tabla Homol.Dic.2015-Nov.2016'!$A$1,0)</f>
        <v>34292</v>
      </c>
      <c r="W6" s="12">
        <f t="shared" ref="W6:W12" si="0">+M6-N6</f>
        <v>4964</v>
      </c>
      <c r="X6" s="16"/>
      <c r="Y6" s="16"/>
      <c r="Z6" s="16"/>
      <c r="AI6" s="17"/>
    </row>
    <row r="7" spans="1:35" x14ac:dyDescent="0.2">
      <c r="A7" s="10" t="str">
        <f>'[3]EMS 2011 DIC-10 HASTA NOVI-11'!A8</f>
        <v>ASIG MUNICIPAL</v>
      </c>
      <c r="B7" s="11">
        <f>ROUND('[2]Tabla Homol.Enero-Nov.2015'!B7*'Tabla Homol.Dic.2015-Nov.2016'!$A$1,0)</f>
        <v>2204760</v>
      </c>
      <c r="C7" s="11">
        <f>ROUND('[2]Tabla Homol.Enero-Nov.2015'!C7*'Tabla Homol.Dic.2015-Nov.2016'!$A$1,0)</f>
        <v>2109315</v>
      </c>
      <c r="D7" s="11">
        <f>ROUND('[2]Tabla Homol.Enero-Nov.2015'!D7*'Tabla Homol.Dic.2015-Nov.2016'!$A$1,0)</f>
        <v>1739343</v>
      </c>
      <c r="E7" s="11">
        <f>ROUND('[2]Tabla Homol.Enero-Nov.2015'!E7*'Tabla Homol.Dic.2015-Nov.2016'!$A$1,0)</f>
        <v>1687542</v>
      </c>
      <c r="F7" s="11">
        <f>ROUND('[2]Tabla Homol.Enero-Nov.2015'!F7*'Tabla Homol.Dic.2015-Nov.2016'!$A$1,0)</f>
        <v>1450403</v>
      </c>
      <c r="G7" s="11">
        <f>ROUND('[2]Tabla Homol.Enero-Nov.2015'!G7*'Tabla Homol.Dic.2015-Nov.2016'!$A$1,0)</f>
        <v>1225702</v>
      </c>
      <c r="H7" s="11">
        <f>ROUND('[2]Tabla Homol.Enero-Nov.2015'!H7*'Tabla Homol.Dic.2015-Nov.2016'!$A$1,0)</f>
        <v>919186</v>
      </c>
      <c r="I7" s="11">
        <f>ROUND('[2]Tabla Homol.Enero-Nov.2015'!I7*'Tabla Homol.Dic.2015-Nov.2016'!$A$1,0)</f>
        <v>705744</v>
      </c>
      <c r="J7" s="11">
        <f>ROUND('[2]Tabla Homol.Enero-Nov.2015'!J7*'Tabla Homol.Dic.2015-Nov.2016'!$A$1,0)</f>
        <v>542279</v>
      </c>
      <c r="K7" s="11">
        <f>ROUND('[2]Tabla Homol.Enero-Nov.2015'!K7*'Tabla Homol.Dic.2015-Nov.2016'!$A$1,0)</f>
        <v>409903</v>
      </c>
      <c r="L7" s="11">
        <f>ROUND('[2]Tabla Homol.Enero-Nov.2015'!L7*'Tabla Homol.Dic.2015-Nov.2016'!$A$1,0)</f>
        <v>309728</v>
      </c>
      <c r="M7" s="11">
        <f>ROUND('[2]Tabla Homol.Enero-Nov.2015'!M7*'Tabla Homol.Dic.2015-Nov.2016'!$A$1,0)</f>
        <v>228619</v>
      </c>
      <c r="N7" s="11">
        <f>ROUND('[2]Tabla Homol.Enero-Nov.2015'!N7*'Tabla Homol.Dic.2015-Nov.2016'!$A$1,0)</f>
        <v>170126</v>
      </c>
      <c r="O7" s="11">
        <f>ROUND('[2]Tabla Homol.Enero-Nov.2015'!O7*'Tabla Homol.Dic.2015-Nov.2016'!$A$1,0)</f>
        <v>128510</v>
      </c>
      <c r="P7" s="11">
        <f>ROUND('[2]Tabla Homol.Enero-Nov.2015'!P7*'Tabla Homol.Dic.2015-Nov.2016'!$A$1,0)</f>
        <v>103221</v>
      </c>
      <c r="Q7" s="11">
        <f>ROUND('[2]Tabla Homol.Enero-Nov.2015'!Q7*'Tabla Homol.Dic.2015-Nov.2016'!$A$1,0)</f>
        <v>101375</v>
      </c>
      <c r="R7" s="11">
        <f>ROUND('[2]Tabla Homol.Enero-Nov.2015'!R7*'Tabla Homol.Dic.2015-Nov.2016'!$A$1,0)</f>
        <v>78380</v>
      </c>
      <c r="S7" s="11">
        <f>ROUND('[2]Tabla Homol.Enero-Nov.2015'!S7*'Tabla Homol.Dic.2015-Nov.2016'!$A$1,0)</f>
        <v>75906</v>
      </c>
      <c r="T7" s="11">
        <f>ROUND('[2]Tabla Homol.Enero-Nov.2015'!T7*'Tabla Homol.Dic.2015-Nov.2016'!$A$1,0)</f>
        <v>83020</v>
      </c>
      <c r="U7" s="11">
        <f>ROUND('[2]Tabla Homol.Enero-Nov.2015'!U7*'Tabla Homol.Dic.2015-Nov.2016'!$A$1,0)</f>
        <v>65396</v>
      </c>
      <c r="W7" s="12">
        <f t="shared" si="0"/>
        <v>58493</v>
      </c>
      <c r="X7" s="12"/>
      <c r="Y7" s="12"/>
      <c r="Z7" s="12"/>
    </row>
    <row r="8" spans="1:35" s="15" customFormat="1" x14ac:dyDescent="0.2">
      <c r="A8" s="13" t="str">
        <f>'[3]EMS 2011 DIC-10 HASTA NOVI-11'!A9</f>
        <v xml:space="preserve">ASIG.ZONA </v>
      </c>
      <c r="B8" s="14">
        <f>ROUND('[2]Tabla Homol.Enero-Nov.2015'!B8*'Tabla Homol.Dic.2015-Nov.2016'!$A$1,0)</f>
        <v>166211</v>
      </c>
      <c r="C8" s="14">
        <f>ROUND('[2]Tabla Homol.Enero-Nov.2015'!C8*'Tabla Homol.Dic.2015-Nov.2016'!$A$1,0)</f>
        <v>156877</v>
      </c>
      <c r="D8" s="14">
        <f>ROUND('[2]Tabla Homol.Enero-Nov.2015'!D8*'Tabla Homol.Dic.2015-Nov.2016'!$A$1,0)</f>
        <v>165637</v>
      </c>
      <c r="E8" s="14">
        <f>ROUND('[2]Tabla Homol.Enero-Nov.2015'!E8*'Tabla Homol.Dic.2015-Nov.2016'!$A$1,0)</f>
        <v>156266</v>
      </c>
      <c r="F8" s="14">
        <f>ROUND('[2]Tabla Homol.Enero-Nov.2015'!F8*'Tabla Homol.Dic.2015-Nov.2016'!$A$1,0)</f>
        <v>147425</v>
      </c>
      <c r="G8" s="14">
        <f>ROUND('[2]Tabla Homol.Enero-Nov.2015'!G8*'Tabla Homol.Dic.2015-Nov.2016'!$A$1,0)</f>
        <v>139069</v>
      </c>
      <c r="H8" s="14">
        <f>ROUND('[2]Tabla Homol.Enero-Nov.2015'!H8*'Tabla Homol.Dic.2015-Nov.2016'!$A$1,0)</f>
        <v>128188</v>
      </c>
      <c r="I8" s="14">
        <f>ROUND('[2]Tabla Homol.Enero-Nov.2015'!I8*'Tabla Homol.Dic.2015-Nov.2016'!$A$1,0)</f>
        <v>118682</v>
      </c>
      <c r="J8" s="14">
        <f>ROUND('[2]Tabla Homol.Enero-Nov.2015'!J8*'Tabla Homol.Dic.2015-Nov.2016'!$A$1,0)</f>
        <v>109880</v>
      </c>
      <c r="K8" s="14">
        <f>ROUND('[2]Tabla Homol.Enero-Nov.2015'!K8*'Tabla Homol.Dic.2015-Nov.2016'!$A$1,0)</f>
        <v>101748</v>
      </c>
      <c r="L8" s="14">
        <f>ROUND('[2]Tabla Homol.Enero-Nov.2015'!L8*'Tabla Homol.Dic.2015-Nov.2016'!$A$1,0)</f>
        <v>94218</v>
      </c>
      <c r="M8" s="14">
        <f>ROUND('[2]Tabla Homol.Enero-Nov.2015'!M8*'Tabla Homol.Dic.2015-Nov.2016'!$A$1,0)</f>
        <v>87239</v>
      </c>
      <c r="N8" s="14">
        <f>ROUND('[2]Tabla Homol.Enero-Nov.2015'!N8*'Tabla Homol.Dic.2015-Nov.2016'!$A$1,0)</f>
        <v>80773</v>
      </c>
      <c r="O8" s="14">
        <f>ROUND('[2]Tabla Homol.Enero-Nov.2015'!O8*'Tabla Homol.Dic.2015-Nov.2016'!$A$1,0)</f>
        <v>74778</v>
      </c>
      <c r="P8" s="14">
        <f>ROUND('[2]Tabla Homol.Enero-Nov.2015'!P8*'Tabla Homol.Dic.2015-Nov.2016'!$A$1,0)</f>
        <v>69244</v>
      </c>
      <c r="Q8" s="14">
        <f>ROUND('[2]Tabla Homol.Enero-Nov.2015'!Q8*'Tabla Homol.Dic.2015-Nov.2016'!$A$1,0)</f>
        <v>64103</v>
      </c>
      <c r="R8" s="14">
        <f>ROUND('[2]Tabla Homol.Enero-Nov.2015'!R8*'Tabla Homol.Dic.2015-Nov.2016'!$A$1,0)</f>
        <v>59356</v>
      </c>
      <c r="S8" s="14">
        <f>ROUND('[2]Tabla Homol.Enero-Nov.2015'!S8*'Tabla Homol.Dic.2015-Nov.2016'!$A$1,0)</f>
        <v>54961</v>
      </c>
      <c r="T8" s="14">
        <f>ROUND('[2]Tabla Homol.Enero-Nov.2015'!T8*'Tabla Homol.Dic.2015-Nov.2016'!$A$1,0)</f>
        <v>51367</v>
      </c>
      <c r="U8" s="14">
        <f>ROUND('[2]Tabla Homol.Enero-Nov.2015'!U8*'Tabla Homol.Dic.2015-Nov.2016'!$A$1,0)</f>
        <v>48008</v>
      </c>
      <c r="W8" s="12">
        <f t="shared" si="0"/>
        <v>6466</v>
      </c>
      <c r="X8" s="16"/>
      <c r="Y8" s="16"/>
      <c r="Z8" s="16"/>
      <c r="AI8" s="17"/>
    </row>
    <row r="9" spans="1:35" x14ac:dyDescent="0.2">
      <c r="A9" s="10" t="s">
        <v>4</v>
      </c>
      <c r="B9" s="11">
        <f>ROUND('[2]Tabla Homol.Enero-Nov.2015'!B9*'Tabla Homol.Dic.2015-Nov.2016'!$A$1,0)</f>
        <v>197060</v>
      </c>
      <c r="C9" s="11">
        <f>ROUND('[2]Tabla Homol.Enero-Nov.2015'!C9*'Tabla Homol.Dic.2015-Nov.2016'!$A$1,0)</f>
        <v>202506</v>
      </c>
      <c r="D9" s="11">
        <f>ROUND('[2]Tabla Homol.Enero-Nov.2015'!D9*'Tabla Homol.Dic.2015-Nov.2016'!$A$1,0)</f>
        <v>203254</v>
      </c>
      <c r="E9" s="11">
        <f>ROUND('[2]Tabla Homol.Enero-Nov.2015'!E9*'Tabla Homol.Dic.2015-Nov.2016'!$A$1,0)</f>
        <v>207982</v>
      </c>
      <c r="F9" s="11">
        <f>ROUND('[2]Tabla Homol.Enero-Nov.2015'!F9*'Tabla Homol.Dic.2015-Nov.2016'!$A$1,0)</f>
        <v>212729</v>
      </c>
      <c r="G9" s="11">
        <f>ROUND('[2]Tabla Homol.Enero-Nov.2015'!G9*'Tabla Homol.Dic.2015-Nov.2016'!$A$1,0)</f>
        <v>237781</v>
      </c>
      <c r="H9" s="11">
        <f>ROUND('[2]Tabla Homol.Enero-Nov.2015'!H9*'Tabla Homol.Dic.2015-Nov.2016'!$A$1,0)</f>
        <v>163967</v>
      </c>
      <c r="I9" s="11">
        <f>ROUND('[2]Tabla Homol.Enero-Nov.2015'!I9*'Tabla Homol.Dic.2015-Nov.2016'!$A$1,0)</f>
        <v>125066</v>
      </c>
      <c r="J9" s="11">
        <f>ROUND('[2]Tabla Homol.Enero-Nov.2015'!J9*'Tabla Homol.Dic.2015-Nov.2016'!$A$1,0)</f>
        <v>95351</v>
      </c>
      <c r="K9" s="11">
        <f>ROUND('[2]Tabla Homol.Enero-Nov.2015'!K9*'Tabla Homol.Dic.2015-Nov.2016'!$A$1,0)</f>
        <v>71261</v>
      </c>
      <c r="L9" s="11">
        <f>ROUND('[2]Tabla Homol.Enero-Nov.2015'!L9*'Tabla Homol.Dic.2015-Nov.2016'!$A$1,0)</f>
        <v>53114</v>
      </c>
      <c r="M9" s="11">
        <f>ROUND('[2]Tabla Homol.Enero-Nov.2015'!M9*'Tabla Homol.Dic.2015-Nov.2016'!$A$1,0)</f>
        <v>44921</v>
      </c>
      <c r="N9" s="11">
        <f>ROUND('[2]Tabla Homol.Enero-Nov.2015'!N9*'Tabla Homol.Dic.2015-Nov.2016'!$A$1,0)</f>
        <v>33163</v>
      </c>
      <c r="O9" s="11">
        <f>ROUND('[2]Tabla Homol.Enero-Nov.2015'!O9*'Tabla Homol.Dic.2015-Nov.2016'!$A$1,0)</f>
        <v>25005</v>
      </c>
      <c r="P9" s="11">
        <f>ROUND('[2]Tabla Homol.Enero-Nov.2015'!P9*'Tabla Homol.Dic.2015-Nov.2016'!$A$1,0)</f>
        <v>19392</v>
      </c>
      <c r="Q9" s="11">
        <f>ROUND('[2]Tabla Homol.Enero-Nov.2015'!Q9*'Tabla Homol.Dic.2015-Nov.2016'!$A$1,0)</f>
        <v>18887</v>
      </c>
      <c r="R9" s="11">
        <f>ROUND('[2]Tabla Homol.Enero-Nov.2015'!R9*'Tabla Homol.Dic.2015-Nov.2016'!$A$1,0)</f>
        <v>13610</v>
      </c>
      <c r="S9" s="11">
        <f>ROUND('[2]Tabla Homol.Enero-Nov.2015'!S9*'Tabla Homol.Dic.2015-Nov.2016'!$A$1,0)</f>
        <v>12446</v>
      </c>
      <c r="T9" s="11">
        <f>ROUND('[2]Tabla Homol.Enero-Nov.2015'!T9*'Tabla Homol.Dic.2015-Nov.2016'!$A$1,0)</f>
        <v>12618</v>
      </c>
      <c r="U9" s="11">
        <f>ROUND('[2]Tabla Homol.Enero-Nov.2015'!U9*'Tabla Homol.Dic.2015-Nov.2016'!$A$1,0)</f>
        <v>8517</v>
      </c>
      <c r="W9" s="12">
        <f t="shared" si="0"/>
        <v>11758</v>
      </c>
      <c r="X9" s="12"/>
      <c r="Y9" s="12"/>
      <c r="Z9" s="12"/>
    </row>
    <row r="10" spans="1:35" x14ac:dyDescent="0.2">
      <c r="A10" s="10" t="str">
        <f>'[3]EMS 2011 DIC-10 HASTA NOVI-11'!A11</f>
        <v>Asig Unica Ley 18,717</v>
      </c>
      <c r="B10" s="11">
        <f>ROUND('[2]Tabla Homol.Enero-Nov.2015'!B10*'Tabla Homol.Dic.2015-Nov.2016'!$A$1,0)</f>
        <v>18351</v>
      </c>
      <c r="C10" s="11">
        <f>ROUND('[2]Tabla Homol.Enero-Nov.2015'!C10*'Tabla Homol.Dic.2015-Nov.2016'!$A$1,0)</f>
        <v>18351</v>
      </c>
      <c r="D10" s="11">
        <f>ROUND('[2]Tabla Homol.Enero-Nov.2015'!D10*'Tabla Homol.Dic.2015-Nov.2016'!$A$1,0)</f>
        <v>18351</v>
      </c>
      <c r="E10" s="11">
        <f>ROUND('[2]Tabla Homol.Enero-Nov.2015'!E10*'Tabla Homol.Dic.2015-Nov.2016'!$A$1,0)</f>
        <v>18351</v>
      </c>
      <c r="F10" s="11">
        <f>ROUND('[2]Tabla Homol.Enero-Nov.2015'!F10*'Tabla Homol.Dic.2015-Nov.2016'!$A$1,0)</f>
        <v>18351</v>
      </c>
      <c r="G10" s="11">
        <f>ROUND('[2]Tabla Homol.Enero-Nov.2015'!G10*'Tabla Homol.Dic.2015-Nov.2016'!$A$1,0)</f>
        <v>18351</v>
      </c>
      <c r="H10" s="11">
        <f>ROUND('[2]Tabla Homol.Enero-Nov.2015'!H10*'Tabla Homol.Dic.2015-Nov.2016'!$A$1,0)</f>
        <v>18351</v>
      </c>
      <c r="I10" s="11">
        <f>ROUND('[2]Tabla Homol.Enero-Nov.2015'!I10*'Tabla Homol.Dic.2015-Nov.2016'!$A$1,0)</f>
        <v>18351</v>
      </c>
      <c r="J10" s="11">
        <f>ROUND('[2]Tabla Homol.Enero-Nov.2015'!J10*'Tabla Homol.Dic.2015-Nov.2016'!$A$1,0)</f>
        <v>18351</v>
      </c>
      <c r="K10" s="11">
        <f>ROUND('[2]Tabla Homol.Enero-Nov.2015'!K10*'Tabla Homol.Dic.2015-Nov.2016'!$A$1,0)</f>
        <v>18351</v>
      </c>
      <c r="L10" s="11">
        <f>ROUND('[2]Tabla Homol.Enero-Nov.2015'!L10*'Tabla Homol.Dic.2015-Nov.2016'!$A$1,0)</f>
        <v>18351</v>
      </c>
      <c r="M10" s="11">
        <f>ROUND('[2]Tabla Homol.Enero-Nov.2015'!M10*'Tabla Homol.Dic.2015-Nov.2016'!$A$1,0)</f>
        <v>68290</v>
      </c>
      <c r="N10" s="11">
        <f>ROUND('[2]Tabla Homol.Enero-Nov.2015'!N10*'Tabla Homol.Dic.2015-Nov.2016'!$A$1,0)</f>
        <v>66269</v>
      </c>
      <c r="O10" s="11">
        <f>ROUND('[2]Tabla Homol.Enero-Nov.2015'!O10*'Tabla Homol.Dic.2015-Nov.2016'!$A$1,0)</f>
        <v>65740</v>
      </c>
      <c r="P10" s="11">
        <f>ROUND('[2]Tabla Homol.Enero-Nov.2015'!P10*'Tabla Homol.Dic.2015-Nov.2016'!$A$1,0)</f>
        <v>56612</v>
      </c>
      <c r="Q10" s="11">
        <f>ROUND('[2]Tabla Homol.Enero-Nov.2015'!Q10*'Tabla Homol.Dic.2015-Nov.2016'!$A$1,0)</f>
        <v>59645</v>
      </c>
      <c r="R10" s="11">
        <f>ROUND('[2]Tabla Homol.Enero-Nov.2015'!R10*'Tabla Homol.Dic.2015-Nov.2016'!$A$1,0)</f>
        <v>55489</v>
      </c>
      <c r="S10" s="11">
        <f>ROUND('[2]Tabla Homol.Enero-Nov.2015'!S10*'Tabla Homol.Dic.2015-Nov.2016'!$A$1,0)</f>
        <v>55489</v>
      </c>
      <c r="T10" s="11">
        <f>ROUND('[2]Tabla Homol.Enero-Nov.2015'!T10*'Tabla Homol.Dic.2015-Nov.2016'!$A$1,0)</f>
        <v>57837</v>
      </c>
      <c r="U10" s="11">
        <f>ROUND('[2]Tabla Homol.Enero-Nov.2015'!U10*'Tabla Homol.Dic.2015-Nov.2016'!$A$1,0)</f>
        <v>55566</v>
      </c>
      <c r="W10" s="12">
        <f t="shared" si="0"/>
        <v>2021</v>
      </c>
      <c r="X10" s="12"/>
      <c r="Y10" s="12"/>
      <c r="Z10" s="12"/>
    </row>
    <row r="11" spans="1:35" x14ac:dyDescent="0.2">
      <c r="A11" s="10" t="str">
        <f>'[3]EMS 2011 DIC-10 HASTA NOVI-11'!A12</f>
        <v>Bonif.Salud Ley 18,566</v>
      </c>
      <c r="B11" s="11">
        <f>ROUND('[2]Tabla Homol.Enero-Nov.2015'!B11*'Tabla Homol.Dic.2015-Nov.2016'!$A$1,0)</f>
        <v>89271</v>
      </c>
      <c r="C11" s="11">
        <f>ROUND('[2]Tabla Homol.Enero-Nov.2015'!C11*'Tabla Homol.Dic.2015-Nov.2016'!$A$1,0)</f>
        <v>92096</v>
      </c>
      <c r="D11" s="11">
        <f>ROUND('[2]Tabla Homol.Enero-Nov.2015'!D11*'Tabla Homol.Dic.2015-Nov.2016'!$A$1,0)</f>
        <v>92466</v>
      </c>
      <c r="E11" s="11">
        <f>ROUND('[2]Tabla Homol.Enero-Nov.2015'!E11*'Tabla Homol.Dic.2015-Nov.2016'!$A$1,0)</f>
        <v>94908</v>
      </c>
      <c r="F11" s="11">
        <f>ROUND('[2]Tabla Homol.Enero-Nov.2015'!F11*'Tabla Homol.Dic.2015-Nov.2016'!$A$1,0)</f>
        <v>97391</v>
      </c>
      <c r="G11" s="11">
        <f>ROUND('[2]Tabla Homol.Enero-Nov.2015'!G11*'Tabla Homol.Dic.2015-Nov.2016'!$A$1,0)</f>
        <v>90613</v>
      </c>
      <c r="H11" s="11">
        <f>ROUND('[2]Tabla Homol.Enero-Nov.2015'!H11*'Tabla Homol.Dic.2015-Nov.2016'!$A$1,0)</f>
        <v>67579</v>
      </c>
      <c r="I11" s="11">
        <f>ROUND('[2]Tabla Homol.Enero-Nov.2015'!I11*'Tabla Homol.Dic.2015-Nov.2016'!$A$1,0)</f>
        <v>51562</v>
      </c>
      <c r="J11" s="11">
        <f>ROUND('[2]Tabla Homol.Enero-Nov.2015'!J11*'Tabla Homol.Dic.2015-Nov.2016'!$A$1,0)</f>
        <v>39304</v>
      </c>
      <c r="K11" s="11">
        <f>ROUND('[2]Tabla Homol.Enero-Nov.2015'!K11*'Tabla Homol.Dic.2015-Nov.2016'!$A$1,0)</f>
        <v>29395</v>
      </c>
      <c r="L11" s="11">
        <f>ROUND('[2]Tabla Homol.Enero-Nov.2015'!L11*'Tabla Homol.Dic.2015-Nov.2016'!$A$1,0)</f>
        <v>21881</v>
      </c>
      <c r="M11" s="11">
        <f>ROUND('[2]Tabla Homol.Enero-Nov.2015'!M11*'Tabla Homol.Dic.2015-Nov.2016'!$A$1,0)</f>
        <v>17478</v>
      </c>
      <c r="N11" s="11">
        <f>ROUND('[2]Tabla Homol.Enero-Nov.2015'!N11*'Tabla Homol.Dic.2015-Nov.2016'!$A$1,0)</f>
        <v>12612</v>
      </c>
      <c r="O11" s="11">
        <f>ROUND('[2]Tabla Homol.Enero-Nov.2015'!O11*'Tabla Homol.Dic.2015-Nov.2016'!$A$1,0)</f>
        <v>9324</v>
      </c>
      <c r="P11" s="11">
        <f>ROUND('[2]Tabla Homol.Enero-Nov.2015'!P11*'Tabla Homol.Dic.2015-Nov.2016'!$A$1,0)</f>
        <v>7296</v>
      </c>
      <c r="Q11" s="11">
        <f>ROUND('[2]Tabla Homol.Enero-Nov.2015'!Q11*'Tabla Homol.Dic.2015-Nov.2016'!$A$1,0)</f>
        <v>7087</v>
      </c>
      <c r="R11" s="11">
        <f>ROUND('[2]Tabla Homol.Enero-Nov.2015'!R11*'Tabla Homol.Dic.2015-Nov.2016'!$A$1,0)</f>
        <v>5082</v>
      </c>
      <c r="S11" s="11">
        <f>ROUND('[2]Tabla Homol.Enero-Nov.2015'!S11*'Tabla Homol.Dic.2015-Nov.2016'!$A$1,0)</f>
        <v>4594</v>
      </c>
      <c r="T11" s="11">
        <f>ROUND('[2]Tabla Homol.Enero-Nov.2015'!T11*'Tabla Homol.Dic.2015-Nov.2016'!$A$1,0)</f>
        <v>4668</v>
      </c>
      <c r="U11" s="11">
        <f>ROUND('[2]Tabla Homol.Enero-Nov.2015'!U11*'Tabla Homol.Dic.2015-Nov.2016'!$A$1,0)</f>
        <v>3040</v>
      </c>
      <c r="W11" s="12">
        <f t="shared" si="0"/>
        <v>4866</v>
      </c>
      <c r="X11" s="12"/>
      <c r="Y11" s="12"/>
      <c r="Z11" s="12"/>
    </row>
    <row r="12" spans="1:35" x14ac:dyDescent="0.2">
      <c r="A12" s="10" t="str">
        <f>'[3]EMS 2011 DIC-10 HASTA NOVI-11'!A13</f>
        <v>LEY 19529</v>
      </c>
      <c r="B12" s="11">
        <f>ROUND('[2]Tabla Homol.Enero-Nov.2015'!B12*'Tabla Homol.Dic.2015-Nov.2016'!$A$1,0)</f>
        <v>0</v>
      </c>
      <c r="C12" s="11">
        <f>ROUND('[2]Tabla Homol.Enero-Nov.2015'!C12*'Tabla Homol.Dic.2015-Nov.2016'!$A$1,0)</f>
        <v>0</v>
      </c>
      <c r="D12" s="11">
        <f>ROUND('[2]Tabla Homol.Enero-Nov.2015'!D12*'Tabla Homol.Dic.2015-Nov.2016'!$A$1,0)</f>
        <v>25172</v>
      </c>
      <c r="E12" s="11">
        <f>ROUND('[2]Tabla Homol.Enero-Nov.2015'!E12*'Tabla Homol.Dic.2015-Nov.2016'!$A$1,0)</f>
        <v>25172</v>
      </c>
      <c r="F12" s="11">
        <f>ROUND('[2]Tabla Homol.Enero-Nov.2015'!F12*'Tabla Homol.Dic.2015-Nov.2016'!$A$1,0)</f>
        <v>25172</v>
      </c>
      <c r="G12" s="11">
        <f>ROUND('[2]Tabla Homol.Enero-Nov.2015'!G12*'Tabla Homol.Dic.2015-Nov.2016'!$A$1,0)</f>
        <v>28947</v>
      </c>
      <c r="H12" s="11">
        <f>ROUND('[2]Tabla Homol.Enero-Nov.2015'!H12*'Tabla Homol.Dic.2015-Nov.2016'!$A$1,0)</f>
        <v>28947</v>
      </c>
      <c r="I12" s="11">
        <f>ROUND('[2]Tabla Homol.Enero-Nov.2015'!I12*'Tabla Homol.Dic.2015-Nov.2016'!$A$1,0)</f>
        <v>28947</v>
      </c>
      <c r="J12" s="11">
        <f>ROUND('[2]Tabla Homol.Enero-Nov.2015'!J12*'Tabla Homol.Dic.2015-Nov.2016'!$A$1,0)</f>
        <v>28947</v>
      </c>
      <c r="K12" s="11">
        <f>ROUND('[2]Tabla Homol.Enero-Nov.2015'!K12*'Tabla Homol.Dic.2015-Nov.2016'!$A$1,0)</f>
        <v>28947</v>
      </c>
      <c r="L12" s="11">
        <f>ROUND('[2]Tabla Homol.Enero-Nov.2015'!L12*'Tabla Homol.Dic.2015-Nov.2016'!$A$1,0)</f>
        <v>28947</v>
      </c>
      <c r="M12" s="11">
        <f>ROUND('[2]Tabla Homol.Enero-Nov.2015'!M12*'Tabla Homol.Dic.2015-Nov.2016'!$A$1,0)</f>
        <v>47824</v>
      </c>
      <c r="N12" s="11">
        <f>ROUND('[2]Tabla Homol.Enero-Nov.2015'!N12*'Tabla Homol.Dic.2015-Nov.2016'!$A$1,0)</f>
        <v>47824</v>
      </c>
      <c r="O12" s="11">
        <f>ROUND('[2]Tabla Homol.Enero-Nov.2015'!O12*'Tabla Homol.Dic.2015-Nov.2016'!$A$1,0)</f>
        <v>47824</v>
      </c>
      <c r="P12" s="11">
        <f>ROUND('[2]Tabla Homol.Enero-Nov.2015'!P12*'Tabla Homol.Dic.2015-Nov.2016'!$A$1,0)</f>
        <v>47824</v>
      </c>
      <c r="Q12" s="11">
        <f>ROUND('[2]Tabla Homol.Enero-Nov.2015'!Q12*'Tabla Homol.Dic.2015-Nov.2016'!$A$1,0)</f>
        <v>47824</v>
      </c>
      <c r="R12" s="11">
        <f>ROUND('[2]Tabla Homol.Enero-Nov.2015'!R12*'Tabla Homol.Dic.2015-Nov.2016'!$A$1,0)</f>
        <v>47824</v>
      </c>
      <c r="S12" s="11">
        <f>ROUND('[2]Tabla Homol.Enero-Nov.2015'!S12*'Tabla Homol.Dic.2015-Nov.2016'!$A$1,0)</f>
        <v>47824</v>
      </c>
      <c r="T12" s="11">
        <f>ROUND('[2]Tabla Homol.Enero-Nov.2015'!T12*'Tabla Homol.Dic.2015-Nov.2016'!$A$1,0)</f>
        <v>47824</v>
      </c>
      <c r="U12" s="11">
        <f>ROUND('[2]Tabla Homol.Enero-Nov.2015'!U12*'Tabla Homol.Dic.2015-Nov.2016'!$A$1,0)</f>
        <v>47824</v>
      </c>
      <c r="W12" s="12">
        <f t="shared" si="0"/>
        <v>0</v>
      </c>
      <c r="X12" s="12"/>
      <c r="Y12" s="12"/>
      <c r="Z12" s="12"/>
    </row>
    <row r="13" spans="1:35" s="19" customFormat="1" x14ac:dyDescent="0.2">
      <c r="A13" s="18" t="s">
        <v>5</v>
      </c>
      <c r="B13" s="11">
        <f>ROUND('[2]Tabla Homol.Enero-Nov.2015'!B13*'Tabla Homol.Dic.2015-Nov.2016'!$A$1,0)</f>
        <v>593613</v>
      </c>
      <c r="C13" s="11">
        <f>ROUND('[2]Tabla Homol.Enero-Nov.2015'!C13*'Tabla Homol.Dic.2015-Nov.2016'!$A$1,0)</f>
        <v>0</v>
      </c>
      <c r="D13" s="11">
        <f>ROUND('[2]Tabla Homol.Enero-Nov.2015'!D13*'Tabla Homol.Dic.2015-Nov.2016'!$A$1,0)</f>
        <v>0</v>
      </c>
      <c r="E13" s="11">
        <f>ROUND('[2]Tabla Homol.Enero-Nov.2015'!E13*'Tabla Homol.Dic.2015-Nov.2016'!$A$1,0)</f>
        <v>0</v>
      </c>
      <c r="F13" s="11">
        <f>ROUND('[2]Tabla Homol.Enero-Nov.2015'!F13*'Tabla Homol.Dic.2015-Nov.2016'!$A$1,0)</f>
        <v>0</v>
      </c>
      <c r="G13" s="11">
        <f>ROUND('[2]Tabla Homol.Enero-Nov.2015'!G13*'Tabla Homol.Dic.2015-Nov.2016'!$A$1,0)</f>
        <v>0</v>
      </c>
      <c r="H13" s="11">
        <f>ROUND('[2]Tabla Homol.Enero-Nov.2015'!H13*'Tabla Homol.Dic.2015-Nov.2016'!$A$1,0)</f>
        <v>0</v>
      </c>
      <c r="I13" s="11">
        <f>ROUND('[2]Tabla Homol.Enero-Nov.2015'!I13*'Tabla Homol.Dic.2015-Nov.2016'!$A$1,0)</f>
        <v>0</v>
      </c>
      <c r="J13" s="11">
        <f>ROUND('[2]Tabla Homol.Enero-Nov.2015'!J13*'Tabla Homol.Dic.2015-Nov.2016'!$A$1,0)</f>
        <v>0</v>
      </c>
      <c r="K13" s="11">
        <f>ROUND('[2]Tabla Homol.Enero-Nov.2015'!K13*'Tabla Homol.Dic.2015-Nov.2016'!$A$1,0)</f>
        <v>0</v>
      </c>
      <c r="L13" s="11">
        <f>ROUND('[2]Tabla Homol.Enero-Nov.2015'!L13*'Tabla Homol.Dic.2015-Nov.2016'!$A$1,0)</f>
        <v>0</v>
      </c>
      <c r="M13" s="11">
        <f>ROUND('[2]Tabla Homol.Enero-Nov.2015'!M13*'Tabla Homol.Dic.2015-Nov.2016'!$A$1,0)</f>
        <v>0</v>
      </c>
      <c r="N13" s="11">
        <f>ROUND('[2]Tabla Homol.Enero-Nov.2015'!N13*'Tabla Homol.Dic.2015-Nov.2016'!$A$1,0)</f>
        <v>0</v>
      </c>
      <c r="O13" s="11">
        <f>ROUND('[2]Tabla Homol.Enero-Nov.2015'!O13*'Tabla Homol.Dic.2015-Nov.2016'!$A$1,0)</f>
        <v>0</v>
      </c>
      <c r="P13" s="11">
        <f>ROUND('[2]Tabla Homol.Enero-Nov.2015'!P13*'Tabla Homol.Dic.2015-Nov.2016'!$A$1,0)</f>
        <v>0</v>
      </c>
      <c r="Q13" s="11">
        <f>ROUND('[2]Tabla Homol.Enero-Nov.2015'!Q13*'Tabla Homol.Dic.2015-Nov.2016'!$A$1,0)</f>
        <v>0</v>
      </c>
      <c r="R13" s="11">
        <f>ROUND('[2]Tabla Homol.Enero-Nov.2015'!R13*'Tabla Homol.Dic.2015-Nov.2016'!$A$1,0)</f>
        <v>0</v>
      </c>
      <c r="S13" s="11">
        <f>ROUND('[2]Tabla Homol.Enero-Nov.2015'!S13*'Tabla Homol.Dic.2015-Nov.2016'!$A$1,0)</f>
        <v>0</v>
      </c>
      <c r="T13" s="11">
        <f>ROUND('[2]Tabla Homol.Enero-Nov.2015'!T13*'Tabla Homol.Dic.2015-Nov.2016'!$A$1,0)</f>
        <v>0</v>
      </c>
      <c r="U13" s="11">
        <f>ROUND('[2]Tabla Homol.Enero-Nov.2015'!U13*'Tabla Homol.Dic.2015-Nov.2016'!$A$1,0)</f>
        <v>0</v>
      </c>
      <c r="X13" s="20"/>
      <c r="Y13" s="20"/>
      <c r="Z13" s="12"/>
      <c r="AI13" s="21"/>
    </row>
    <row r="14" spans="1:35" s="19" customFormat="1" x14ac:dyDescent="0.2">
      <c r="A14" s="10" t="s">
        <v>6</v>
      </c>
      <c r="B14" s="11">
        <f>ROUND('[2]Tabla Homol.Enero-Nov.2015'!B14*'Tabla Homol.Dic.2015-Nov.2016'!$A$1,0)</f>
        <v>2204760</v>
      </c>
      <c r="C14" s="11">
        <f>ROUND('[2]Tabla Homol.Enero-Nov.2015'!C14*'Tabla Homol.Dic.2015-Nov.2016'!$A$1,0)</f>
        <v>0</v>
      </c>
      <c r="D14" s="11">
        <f>ROUND('[2]Tabla Homol.Enero-Nov.2015'!D14*'Tabla Homol.Dic.2015-Nov.2016'!$A$1,0)</f>
        <v>0</v>
      </c>
      <c r="E14" s="11">
        <f>ROUND('[2]Tabla Homol.Enero-Nov.2015'!E14*'Tabla Homol.Dic.2015-Nov.2016'!$A$1,0)</f>
        <v>0</v>
      </c>
      <c r="F14" s="11">
        <f>ROUND('[2]Tabla Homol.Enero-Nov.2015'!F14*'Tabla Homol.Dic.2015-Nov.2016'!$A$1,0)</f>
        <v>0</v>
      </c>
      <c r="G14" s="11">
        <f>ROUND('[2]Tabla Homol.Enero-Nov.2015'!G14*'Tabla Homol.Dic.2015-Nov.2016'!$A$1,0)</f>
        <v>0</v>
      </c>
      <c r="H14" s="11">
        <f>ROUND('[2]Tabla Homol.Enero-Nov.2015'!H14*'Tabla Homol.Dic.2015-Nov.2016'!$A$1,0)</f>
        <v>0</v>
      </c>
      <c r="I14" s="11">
        <f>ROUND('[2]Tabla Homol.Enero-Nov.2015'!I14*'Tabla Homol.Dic.2015-Nov.2016'!$A$1,0)</f>
        <v>0</v>
      </c>
      <c r="J14" s="11">
        <f>ROUND('[2]Tabla Homol.Enero-Nov.2015'!J14*'Tabla Homol.Dic.2015-Nov.2016'!$A$1,0)</f>
        <v>0</v>
      </c>
      <c r="K14" s="11">
        <f>ROUND('[2]Tabla Homol.Enero-Nov.2015'!K14*'Tabla Homol.Dic.2015-Nov.2016'!$A$1,0)</f>
        <v>0</v>
      </c>
      <c r="L14" s="11">
        <f>ROUND('[2]Tabla Homol.Enero-Nov.2015'!L14*'Tabla Homol.Dic.2015-Nov.2016'!$A$1,0)</f>
        <v>0</v>
      </c>
      <c r="M14" s="11">
        <f>ROUND('[2]Tabla Homol.Enero-Nov.2015'!M14*'Tabla Homol.Dic.2015-Nov.2016'!$A$1,0)</f>
        <v>0</v>
      </c>
      <c r="N14" s="11">
        <f>ROUND('[2]Tabla Homol.Enero-Nov.2015'!N14*'Tabla Homol.Dic.2015-Nov.2016'!$A$1,0)</f>
        <v>0</v>
      </c>
      <c r="O14" s="11">
        <f>ROUND('[2]Tabla Homol.Enero-Nov.2015'!O14*'Tabla Homol.Dic.2015-Nov.2016'!$A$1,0)</f>
        <v>0</v>
      </c>
      <c r="P14" s="11">
        <f>ROUND('[2]Tabla Homol.Enero-Nov.2015'!P14*'Tabla Homol.Dic.2015-Nov.2016'!$A$1,0)</f>
        <v>0</v>
      </c>
      <c r="Q14" s="11">
        <f>ROUND('[2]Tabla Homol.Enero-Nov.2015'!Q14*'Tabla Homol.Dic.2015-Nov.2016'!$A$1,0)</f>
        <v>0</v>
      </c>
      <c r="R14" s="11">
        <f>ROUND('[2]Tabla Homol.Enero-Nov.2015'!R14*'Tabla Homol.Dic.2015-Nov.2016'!$A$1,0)</f>
        <v>0</v>
      </c>
      <c r="S14" s="11">
        <f>ROUND('[2]Tabla Homol.Enero-Nov.2015'!S14*'Tabla Homol.Dic.2015-Nov.2016'!$A$1,0)</f>
        <v>0</v>
      </c>
      <c r="T14" s="11">
        <f>ROUND('[2]Tabla Homol.Enero-Nov.2015'!T14*'Tabla Homol.Dic.2015-Nov.2016'!$A$1,0)</f>
        <v>0</v>
      </c>
      <c r="U14" s="11">
        <f>ROUND('[2]Tabla Homol.Enero-Nov.2015'!U14*'Tabla Homol.Dic.2015-Nov.2016'!$A$1,0)</f>
        <v>0</v>
      </c>
      <c r="X14" s="20"/>
      <c r="Z14" s="12"/>
      <c r="AI14" s="21"/>
    </row>
    <row r="15" spans="1:35" s="22" customFormat="1" x14ac:dyDescent="0.2">
      <c r="A15" s="18" t="s">
        <v>7</v>
      </c>
      <c r="B15" s="11">
        <f>ROUND('[2]Tabla Homol.Enero-Nov.2015'!B15*'Tabla Homol.Dic.2015-Nov.2016'!$A$1,0)</f>
        <v>0</v>
      </c>
      <c r="C15" s="11">
        <f>ROUND('[2]Tabla Homol.Enero-Nov.2015'!C15*'Tabla Homol.Dic.2015-Nov.2016'!$A$1,0)</f>
        <v>0</v>
      </c>
      <c r="D15" s="11">
        <f>ROUND('[2]Tabla Homol.Enero-Nov.2015'!D15*'Tabla Homol.Dic.2015-Nov.2016'!$A$1,0)</f>
        <v>699271</v>
      </c>
      <c r="E15" s="11">
        <f>ROUND('[2]Tabla Homol.Enero-Nov.2015'!E15*'Tabla Homol.Dic.2015-Nov.2016'!$A$1,0)</f>
        <v>0</v>
      </c>
      <c r="F15" s="11">
        <f>ROUND('[2]Tabla Homol.Enero-Nov.2015'!F15*'Tabla Homol.Dic.2015-Nov.2016'!$A$1,0)</f>
        <v>0</v>
      </c>
      <c r="G15" s="11">
        <f>ROUND('[2]Tabla Homol.Enero-Nov.2015'!G15*'Tabla Homol.Dic.2015-Nov.2016'!$A$1,0)</f>
        <v>0</v>
      </c>
      <c r="H15" s="11">
        <f>ROUND('[2]Tabla Homol.Enero-Nov.2015'!H15*'Tabla Homol.Dic.2015-Nov.2016'!$A$1,0)</f>
        <v>0</v>
      </c>
      <c r="I15" s="11">
        <f>ROUND('[2]Tabla Homol.Enero-Nov.2015'!I15*'Tabla Homol.Dic.2015-Nov.2016'!$A$1,0)</f>
        <v>0</v>
      </c>
      <c r="J15" s="11">
        <f>ROUND('[2]Tabla Homol.Enero-Nov.2015'!J15*'Tabla Homol.Dic.2015-Nov.2016'!$A$1,0)</f>
        <v>0</v>
      </c>
      <c r="K15" s="11">
        <f>ROUND('[2]Tabla Homol.Enero-Nov.2015'!K15*'Tabla Homol.Dic.2015-Nov.2016'!$A$1,0)</f>
        <v>0</v>
      </c>
      <c r="L15" s="11">
        <f>ROUND('[2]Tabla Homol.Enero-Nov.2015'!L15*'Tabla Homol.Dic.2015-Nov.2016'!$A$1,0)</f>
        <v>0</v>
      </c>
      <c r="M15" s="11">
        <f>ROUND('[2]Tabla Homol.Enero-Nov.2015'!M15*'Tabla Homol.Dic.2015-Nov.2016'!$A$1,0)</f>
        <v>0</v>
      </c>
      <c r="N15" s="11">
        <f>ROUND('[2]Tabla Homol.Enero-Nov.2015'!N15*'Tabla Homol.Dic.2015-Nov.2016'!$A$1,0)</f>
        <v>0</v>
      </c>
      <c r="O15" s="11">
        <f>ROUND('[2]Tabla Homol.Enero-Nov.2015'!O15*'Tabla Homol.Dic.2015-Nov.2016'!$A$1,0)</f>
        <v>0</v>
      </c>
      <c r="P15" s="11">
        <f>ROUND('[2]Tabla Homol.Enero-Nov.2015'!P15*'Tabla Homol.Dic.2015-Nov.2016'!$A$1,0)</f>
        <v>0</v>
      </c>
      <c r="Q15" s="11">
        <f>ROUND('[2]Tabla Homol.Enero-Nov.2015'!Q15*'Tabla Homol.Dic.2015-Nov.2016'!$A$1,0)</f>
        <v>0</v>
      </c>
      <c r="R15" s="11">
        <f>ROUND('[2]Tabla Homol.Enero-Nov.2015'!R15*'Tabla Homol.Dic.2015-Nov.2016'!$A$1,0)</f>
        <v>0</v>
      </c>
      <c r="S15" s="11">
        <f>ROUND('[2]Tabla Homol.Enero-Nov.2015'!S15*'Tabla Homol.Dic.2015-Nov.2016'!$A$1,0)</f>
        <v>0</v>
      </c>
      <c r="T15" s="11">
        <f>ROUND('[2]Tabla Homol.Enero-Nov.2015'!T15*'Tabla Homol.Dic.2015-Nov.2016'!$A$1,0)</f>
        <v>0</v>
      </c>
      <c r="U15" s="11">
        <f>ROUND('[2]Tabla Homol.Enero-Nov.2015'!U15*'Tabla Homol.Dic.2015-Nov.2016'!$A$1,0)</f>
        <v>0</v>
      </c>
      <c r="X15" s="23"/>
      <c r="AI15" s="24"/>
    </row>
    <row r="16" spans="1:35" s="22" customFormat="1" x14ac:dyDescent="0.2">
      <c r="A16" s="18" t="s">
        <v>8</v>
      </c>
      <c r="B16" s="11">
        <f>ROUND('[2]Tabla Homol.Enero-Nov.2015'!B16*'Tabla Homol.Dic.2015-Nov.2016'!$A$1,0)</f>
        <v>0</v>
      </c>
      <c r="C16" s="11">
        <f>ROUND('[2]Tabla Homol.Enero-Nov.2015'!C16*'Tabla Homol.Dic.2015-Nov.2016'!$A$1,0)</f>
        <v>0</v>
      </c>
      <c r="D16" s="11">
        <f>ROUND('[2]Tabla Homol.Enero-Nov.2015'!D16*'Tabla Homol.Dic.2015-Nov.2016'!$A$1,0)</f>
        <v>466180</v>
      </c>
      <c r="E16" s="11">
        <f>ROUND('[2]Tabla Homol.Enero-Nov.2015'!E16*'Tabla Homol.Dic.2015-Nov.2016'!$A$1,0)</f>
        <v>0</v>
      </c>
      <c r="F16" s="11">
        <f>ROUND('[2]Tabla Homol.Enero-Nov.2015'!F16*'Tabla Homol.Dic.2015-Nov.2016'!$A$1,0)</f>
        <v>0</v>
      </c>
      <c r="G16" s="11">
        <f>ROUND('[2]Tabla Homol.Enero-Nov.2015'!G16*'Tabla Homol.Dic.2015-Nov.2016'!$A$1,0)</f>
        <v>0</v>
      </c>
      <c r="H16" s="11">
        <f>ROUND('[2]Tabla Homol.Enero-Nov.2015'!H16*'Tabla Homol.Dic.2015-Nov.2016'!$A$1,0)</f>
        <v>0</v>
      </c>
      <c r="I16" s="11">
        <f>ROUND('[2]Tabla Homol.Enero-Nov.2015'!I16*'Tabla Homol.Dic.2015-Nov.2016'!$A$1,0)</f>
        <v>0</v>
      </c>
      <c r="J16" s="11">
        <f>ROUND('[2]Tabla Homol.Enero-Nov.2015'!J16*'Tabla Homol.Dic.2015-Nov.2016'!$A$1,0)</f>
        <v>0</v>
      </c>
      <c r="K16" s="11">
        <f>ROUND('[2]Tabla Homol.Enero-Nov.2015'!K16*'Tabla Homol.Dic.2015-Nov.2016'!$A$1,0)</f>
        <v>0</v>
      </c>
      <c r="L16" s="11">
        <f>ROUND('[2]Tabla Homol.Enero-Nov.2015'!L16*'Tabla Homol.Dic.2015-Nov.2016'!$A$1,0)</f>
        <v>0</v>
      </c>
      <c r="M16" s="11">
        <f>ROUND('[2]Tabla Homol.Enero-Nov.2015'!M16*'Tabla Homol.Dic.2015-Nov.2016'!$A$1,0)</f>
        <v>0</v>
      </c>
      <c r="N16" s="11">
        <f>ROUND('[2]Tabla Homol.Enero-Nov.2015'!N16*'Tabla Homol.Dic.2015-Nov.2016'!$A$1,0)</f>
        <v>0</v>
      </c>
      <c r="O16" s="11">
        <f>ROUND('[2]Tabla Homol.Enero-Nov.2015'!O16*'Tabla Homol.Dic.2015-Nov.2016'!$A$1,0)</f>
        <v>0</v>
      </c>
      <c r="P16" s="11">
        <f>ROUND('[2]Tabla Homol.Enero-Nov.2015'!P16*'Tabla Homol.Dic.2015-Nov.2016'!$A$1,0)</f>
        <v>0</v>
      </c>
      <c r="Q16" s="11">
        <f>ROUND('[2]Tabla Homol.Enero-Nov.2015'!Q16*'Tabla Homol.Dic.2015-Nov.2016'!$A$1,0)</f>
        <v>0</v>
      </c>
      <c r="R16" s="11">
        <f>ROUND('[2]Tabla Homol.Enero-Nov.2015'!R16*'Tabla Homol.Dic.2015-Nov.2016'!$A$1,0)</f>
        <v>0</v>
      </c>
      <c r="S16" s="11">
        <f>ROUND('[2]Tabla Homol.Enero-Nov.2015'!S16*'Tabla Homol.Dic.2015-Nov.2016'!$A$1,0)</f>
        <v>0</v>
      </c>
      <c r="T16" s="11">
        <f>ROUND('[2]Tabla Homol.Enero-Nov.2015'!T16*'Tabla Homol.Dic.2015-Nov.2016'!$A$1,0)</f>
        <v>0</v>
      </c>
      <c r="U16" s="11">
        <f>ROUND('[2]Tabla Homol.Enero-Nov.2015'!U16*'Tabla Homol.Dic.2015-Nov.2016'!$A$1,0)</f>
        <v>0</v>
      </c>
      <c r="AI16" s="24"/>
    </row>
    <row r="17" spans="1:36" s="27" customFormat="1" x14ac:dyDescent="0.2">
      <c r="A17" s="25" t="s">
        <v>9</v>
      </c>
      <c r="B17" s="26">
        <f t="shared" ref="B17:U17" si="1">SUM(B5:B14)</f>
        <v>6195266</v>
      </c>
      <c r="C17" s="26">
        <f t="shared" si="1"/>
        <v>3259879</v>
      </c>
      <c r="D17" s="26">
        <f>SUM(D5:D14)</f>
        <v>2962967</v>
      </c>
      <c r="E17" s="26">
        <f t="shared" si="1"/>
        <v>2868299</v>
      </c>
      <c r="F17" s="26">
        <f t="shared" si="1"/>
        <v>2591191</v>
      </c>
      <c r="G17" s="26">
        <f t="shared" si="1"/>
        <v>2343926</v>
      </c>
      <c r="H17" s="26">
        <f t="shared" si="1"/>
        <v>1882462</v>
      </c>
      <c r="I17" s="26">
        <f t="shared" si="1"/>
        <v>1563348</v>
      </c>
      <c r="J17" s="26">
        <f t="shared" si="1"/>
        <v>1310913</v>
      </c>
      <c r="K17" s="26">
        <f t="shared" si="1"/>
        <v>1101120</v>
      </c>
      <c r="L17" s="26">
        <f>SUM(L5:L14)</f>
        <v>935076</v>
      </c>
      <c r="M17" s="26">
        <f t="shared" si="1"/>
        <v>872925</v>
      </c>
      <c r="N17" s="26">
        <f t="shared" si="1"/>
        <v>761267</v>
      </c>
      <c r="O17" s="26">
        <f t="shared" si="1"/>
        <v>675663</v>
      </c>
      <c r="P17" s="26">
        <f t="shared" si="1"/>
        <v>604057</v>
      </c>
      <c r="Q17" s="26">
        <f t="shared" si="1"/>
        <v>577080</v>
      </c>
      <c r="R17" s="26">
        <f t="shared" si="1"/>
        <v>517304</v>
      </c>
      <c r="S17" s="26">
        <f t="shared" si="1"/>
        <v>489711</v>
      </c>
      <c r="T17" s="26">
        <f t="shared" si="1"/>
        <v>477476</v>
      </c>
      <c r="U17" s="26">
        <f t="shared" si="1"/>
        <v>434101</v>
      </c>
      <c r="Z17" s="28"/>
      <c r="AI17" s="29"/>
    </row>
    <row r="18" spans="1:36" x14ac:dyDescent="0.2">
      <c r="B18" s="5"/>
      <c r="C18" s="5"/>
      <c r="D18" s="5"/>
      <c r="E18" s="5"/>
      <c r="F18" s="5"/>
      <c r="G18" s="5">
        <f>+G17+135095+9934</f>
        <v>2488955</v>
      </c>
      <c r="H18" s="5"/>
      <c r="I18" s="5"/>
      <c r="J18" s="5"/>
      <c r="K18" s="5"/>
      <c r="M18" s="5"/>
      <c r="N18" s="5">
        <f>+N17*1</f>
        <v>761267</v>
      </c>
      <c r="O18" s="5"/>
      <c r="P18" s="5"/>
      <c r="Q18" s="5"/>
      <c r="R18" s="5"/>
      <c r="S18" s="5"/>
      <c r="T18" s="5"/>
      <c r="U18" s="5"/>
      <c r="W18" s="6"/>
    </row>
    <row r="19" spans="1:36" x14ac:dyDescent="0.2">
      <c r="A19" s="19" t="s">
        <v>10</v>
      </c>
      <c r="B19" s="30">
        <v>0</v>
      </c>
      <c r="C19" s="30">
        <v>0</v>
      </c>
      <c r="D19" s="30">
        <v>3323</v>
      </c>
      <c r="E19" s="30">
        <v>2706</v>
      </c>
      <c r="F19" s="30">
        <v>2400</v>
      </c>
      <c r="G19" s="30">
        <v>8610</v>
      </c>
      <c r="H19" s="30">
        <v>7572</v>
      </c>
      <c r="I19" s="30">
        <v>11551</v>
      </c>
      <c r="J19" s="30">
        <v>11924</v>
      </c>
      <c r="K19" s="30">
        <v>10629</v>
      </c>
      <c r="L19" s="30">
        <v>9855</v>
      </c>
      <c r="M19" s="31">
        <v>9113</v>
      </c>
      <c r="N19" s="30">
        <v>8436</v>
      </c>
      <c r="O19" s="30">
        <v>7799</v>
      </c>
      <c r="P19" s="30">
        <v>7201</v>
      </c>
      <c r="Q19" s="30">
        <v>6797</v>
      </c>
      <c r="R19" s="30">
        <v>6243</v>
      </c>
      <c r="S19" s="30">
        <v>5785</v>
      </c>
      <c r="T19" s="30">
        <v>5485</v>
      </c>
      <c r="U19" s="30">
        <v>5138</v>
      </c>
    </row>
    <row r="20" spans="1:36" x14ac:dyDescent="0.2">
      <c r="A20" s="32">
        <v>1.05</v>
      </c>
      <c r="B20" s="30">
        <v>0</v>
      </c>
      <c r="C20" s="30">
        <v>0</v>
      </c>
      <c r="D20" s="30">
        <f>ROUND(D19*$A$20,0)</f>
        <v>3489</v>
      </c>
      <c r="E20" s="30">
        <f t="shared" ref="E20:U20" si="2">ROUND(E19*$A$20,0)</f>
        <v>2841</v>
      </c>
      <c r="F20" s="30">
        <f t="shared" si="2"/>
        <v>2520</v>
      </c>
      <c r="G20" s="30">
        <f t="shared" si="2"/>
        <v>9041</v>
      </c>
      <c r="H20" s="30">
        <f t="shared" si="2"/>
        <v>7951</v>
      </c>
      <c r="I20" s="30">
        <f t="shared" si="2"/>
        <v>12129</v>
      </c>
      <c r="J20" s="30">
        <f t="shared" si="2"/>
        <v>12520</v>
      </c>
      <c r="K20" s="30">
        <f t="shared" si="2"/>
        <v>11160</v>
      </c>
      <c r="L20" s="30">
        <f t="shared" si="2"/>
        <v>10348</v>
      </c>
      <c r="M20" s="30">
        <f t="shared" si="2"/>
        <v>9569</v>
      </c>
      <c r="N20" s="30">
        <f t="shared" si="2"/>
        <v>8858</v>
      </c>
      <c r="O20" s="30">
        <f t="shared" si="2"/>
        <v>8189</v>
      </c>
      <c r="P20" s="30">
        <f t="shared" si="2"/>
        <v>7561</v>
      </c>
      <c r="Q20" s="30">
        <f t="shared" si="2"/>
        <v>7137</v>
      </c>
      <c r="R20" s="30">
        <f t="shared" si="2"/>
        <v>6555</v>
      </c>
      <c r="S20" s="30">
        <f t="shared" si="2"/>
        <v>6074</v>
      </c>
      <c r="T20" s="30">
        <f t="shared" si="2"/>
        <v>5759</v>
      </c>
      <c r="U20" s="30">
        <f t="shared" si="2"/>
        <v>5395</v>
      </c>
    </row>
    <row r="21" spans="1:36" ht="12" thickBot="1" x14ac:dyDescent="0.25">
      <c r="A21" s="33">
        <v>1.05</v>
      </c>
      <c r="B21" s="30">
        <v>0</v>
      </c>
      <c r="C21" s="30">
        <v>0</v>
      </c>
      <c r="D21" s="30">
        <f>ROUND(D20*$A$21,0)</f>
        <v>3663</v>
      </c>
      <c r="E21" s="30">
        <f t="shared" ref="E21:U21" si="3">ROUND(E20*$A$21,0)</f>
        <v>2983</v>
      </c>
      <c r="F21" s="30">
        <f t="shared" si="3"/>
        <v>2646</v>
      </c>
      <c r="G21" s="30">
        <f t="shared" si="3"/>
        <v>9493</v>
      </c>
      <c r="H21" s="30">
        <f t="shared" si="3"/>
        <v>8349</v>
      </c>
      <c r="I21" s="30">
        <f t="shared" si="3"/>
        <v>12735</v>
      </c>
      <c r="J21" s="30">
        <f t="shared" si="3"/>
        <v>13146</v>
      </c>
      <c r="K21" s="30">
        <f t="shared" si="3"/>
        <v>11718</v>
      </c>
      <c r="L21" s="30">
        <f t="shared" si="3"/>
        <v>10865</v>
      </c>
      <c r="M21" s="30">
        <f t="shared" si="3"/>
        <v>10047</v>
      </c>
      <c r="N21" s="30">
        <f t="shared" si="3"/>
        <v>9301</v>
      </c>
      <c r="O21" s="30">
        <f t="shared" si="3"/>
        <v>8598</v>
      </c>
      <c r="P21" s="30">
        <f t="shared" si="3"/>
        <v>7939</v>
      </c>
      <c r="Q21" s="30">
        <f t="shared" si="3"/>
        <v>7494</v>
      </c>
      <c r="R21" s="30">
        <f t="shared" si="3"/>
        <v>6883</v>
      </c>
      <c r="S21" s="30">
        <f t="shared" si="3"/>
        <v>6378</v>
      </c>
      <c r="T21" s="30">
        <f t="shared" si="3"/>
        <v>6047</v>
      </c>
      <c r="U21" s="30">
        <f t="shared" si="3"/>
        <v>5665</v>
      </c>
    </row>
    <row r="22" spans="1:36" s="36" customFormat="1" ht="12" thickBot="1" x14ac:dyDescent="0.25">
      <c r="A22" s="34">
        <v>1.06</v>
      </c>
      <c r="B22" s="35">
        <v>0</v>
      </c>
      <c r="C22" s="35">
        <v>0</v>
      </c>
      <c r="D22" s="35">
        <f>ROUND(D21*$A$22,0)</f>
        <v>3883</v>
      </c>
      <c r="E22" s="35">
        <f t="shared" ref="E22:U22" si="4">ROUND(E21*$A$22,0)</f>
        <v>3162</v>
      </c>
      <c r="F22" s="35">
        <f>ROUND(F21*$A$22,0)</f>
        <v>2805</v>
      </c>
      <c r="G22" s="35">
        <f t="shared" si="4"/>
        <v>10063</v>
      </c>
      <c r="H22" s="35">
        <f t="shared" si="4"/>
        <v>8850</v>
      </c>
      <c r="I22" s="35">
        <f t="shared" si="4"/>
        <v>13499</v>
      </c>
      <c r="J22" s="35">
        <f t="shared" si="4"/>
        <v>13935</v>
      </c>
      <c r="K22" s="35">
        <f t="shared" si="4"/>
        <v>12421</v>
      </c>
      <c r="L22" s="35">
        <f t="shared" si="4"/>
        <v>11517</v>
      </c>
      <c r="M22" s="35">
        <f t="shared" si="4"/>
        <v>10650</v>
      </c>
      <c r="N22" s="35">
        <f t="shared" si="4"/>
        <v>9859</v>
      </c>
      <c r="O22" s="35">
        <f t="shared" si="4"/>
        <v>9114</v>
      </c>
      <c r="P22" s="35">
        <f t="shared" si="4"/>
        <v>8415</v>
      </c>
      <c r="Q22" s="35">
        <f t="shared" si="4"/>
        <v>7944</v>
      </c>
      <c r="R22" s="35">
        <f t="shared" si="4"/>
        <v>7296</v>
      </c>
      <c r="S22" s="35">
        <f t="shared" si="4"/>
        <v>6761</v>
      </c>
      <c r="T22" s="35">
        <f t="shared" si="4"/>
        <v>6410</v>
      </c>
      <c r="U22" s="35">
        <f t="shared" si="4"/>
        <v>6005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7"/>
      <c r="AJ22" s="30"/>
    </row>
    <row r="24" spans="1:36" s="40" customFormat="1" x14ac:dyDescent="0.2">
      <c r="A24" s="38" t="s">
        <v>11</v>
      </c>
      <c r="B24" s="39">
        <f t="shared" ref="B24:U24" si="5">B5*0.035</f>
        <v>20776.455000000002</v>
      </c>
      <c r="C24" s="39">
        <f t="shared" si="5"/>
        <v>19609.625000000004</v>
      </c>
      <c r="D24" s="39">
        <f t="shared" si="5"/>
        <v>20704.565000000002</v>
      </c>
      <c r="E24" s="39">
        <f t="shared" si="5"/>
        <v>19533.115000000002</v>
      </c>
      <c r="F24" s="39">
        <f t="shared" si="5"/>
        <v>18428.165000000001</v>
      </c>
      <c r="G24" s="39">
        <f t="shared" si="5"/>
        <v>17383.695000000003</v>
      </c>
      <c r="H24" s="39">
        <f t="shared" si="5"/>
        <v>16023.490000000002</v>
      </c>
      <c r="I24" s="39">
        <f t="shared" si="5"/>
        <v>14835.275000000001</v>
      </c>
      <c r="J24" s="39">
        <f t="shared" si="5"/>
        <v>13735.015000000001</v>
      </c>
      <c r="K24" s="39">
        <f t="shared" si="5"/>
        <v>12718.545000000002</v>
      </c>
      <c r="L24" s="39">
        <f t="shared" si="5"/>
        <v>11777.220000000001</v>
      </c>
      <c r="M24" s="39">
        <f t="shared" si="5"/>
        <v>10904.845000000001</v>
      </c>
      <c r="N24" s="39">
        <f t="shared" si="5"/>
        <v>10096.695000000002</v>
      </c>
      <c r="O24" s="39">
        <f t="shared" si="5"/>
        <v>9347.2400000000016</v>
      </c>
      <c r="P24" s="39">
        <f t="shared" si="5"/>
        <v>8655.4650000000001</v>
      </c>
      <c r="Q24" s="39">
        <f t="shared" si="5"/>
        <v>8012.795000000001</v>
      </c>
      <c r="R24" s="39">
        <f t="shared" si="5"/>
        <v>7419.5100000000011</v>
      </c>
      <c r="S24" s="39">
        <f t="shared" si="5"/>
        <v>6870.1150000000007</v>
      </c>
      <c r="T24" s="39">
        <f t="shared" si="5"/>
        <v>6420.8200000000006</v>
      </c>
      <c r="U24" s="39">
        <f t="shared" si="5"/>
        <v>6001.0300000000007</v>
      </c>
      <c r="AI24" s="41"/>
    </row>
    <row r="25" spans="1:36" x14ac:dyDescent="0.2">
      <c r="B25" s="42">
        <v>0.215</v>
      </c>
      <c r="C25" s="42">
        <v>0.215</v>
      </c>
      <c r="D25" s="42">
        <v>0.215</v>
      </c>
      <c r="E25" s="42">
        <v>0.215</v>
      </c>
      <c r="F25" s="42">
        <v>0.215</v>
      </c>
      <c r="G25" s="42">
        <v>0.215</v>
      </c>
      <c r="H25" s="42">
        <v>0.215</v>
      </c>
      <c r="I25" s="42">
        <v>0.215</v>
      </c>
      <c r="J25" s="42">
        <v>0.215</v>
      </c>
      <c r="K25" s="43">
        <v>0.215</v>
      </c>
      <c r="L25" s="42">
        <v>0.215</v>
      </c>
      <c r="M25" s="43">
        <v>0.215</v>
      </c>
      <c r="N25" s="43">
        <v>0.215</v>
      </c>
      <c r="O25" s="43">
        <v>0.215</v>
      </c>
      <c r="P25" s="43">
        <v>0.215</v>
      </c>
      <c r="Q25" s="43">
        <v>0.215</v>
      </c>
      <c r="R25" s="43">
        <v>0.215</v>
      </c>
      <c r="S25" s="43">
        <v>0.215</v>
      </c>
      <c r="T25" s="43">
        <v>0.2</v>
      </c>
      <c r="U25" s="43">
        <v>0.2</v>
      </c>
    </row>
    <row r="26" spans="1:36" x14ac:dyDescent="0.2">
      <c r="B26" s="5"/>
      <c r="C26" s="5"/>
      <c r="D26" s="5"/>
      <c r="E26" s="5"/>
      <c r="F26" s="5"/>
      <c r="G26" s="5">
        <f>+G18/30*13</f>
        <v>1078547.1666666667</v>
      </c>
      <c r="H26" s="5"/>
      <c r="I26" s="5"/>
      <c r="J26" s="5"/>
      <c r="O26" s="12"/>
      <c r="P26" s="12"/>
    </row>
    <row r="27" spans="1:36" s="44" customFormat="1" x14ac:dyDescent="0.2">
      <c r="B27" s="45">
        <f>+'[2]Tabla Homol.Dic.2014'!B17</f>
        <v>5951266</v>
      </c>
      <c r="C27" s="45">
        <f>+'[2]Tabla Homol.Dic.2014'!C17</f>
        <v>3131488</v>
      </c>
      <c r="D27" s="45">
        <f>+'[2]Tabla Homol.Dic.2014'!D17</f>
        <v>2840466</v>
      </c>
      <c r="E27" s="45">
        <f>+'[2]Tabla Homol.Dic.2014'!E17</f>
        <v>2750605</v>
      </c>
      <c r="F27" s="45">
        <f>+'[2]Tabla Homol.Dic.2014'!F17</f>
        <v>2484946</v>
      </c>
      <c r="G27" s="45">
        <f>+'[2]Tabla Homol.Dic.2014'!G17</f>
        <v>2236565</v>
      </c>
      <c r="H27" s="45">
        <f>+'[2]Tabla Homol.Dic.2014'!H17</f>
        <v>1795090</v>
      </c>
      <c r="I27" s="45">
        <f>+'[2]Tabla Homol.Dic.2014'!I17</f>
        <v>1481595</v>
      </c>
      <c r="J27" s="45">
        <f>+'[2]Tabla Homol.Dic.2014'!J17</f>
        <v>1238451</v>
      </c>
      <c r="K27" s="45">
        <f>+'[2]Tabla Homol.Dic.2014'!K17</f>
        <v>1039185</v>
      </c>
      <c r="L27" s="45">
        <f>+'[2]Tabla Homol.Dic.2014'!L17</f>
        <v>881032</v>
      </c>
      <c r="M27" s="45">
        <f>+'[2]Tabla Homol.Dic.2014'!M17</f>
        <v>822623</v>
      </c>
      <c r="N27" s="45">
        <f>+'[2]Tabla Homol.Dic.2014'!N17</f>
        <v>716545</v>
      </c>
      <c r="O27" s="46"/>
      <c r="P27" s="45"/>
      <c r="Q27" s="45"/>
      <c r="R27" s="45"/>
      <c r="S27" s="45">
        <f>+'[2]Tabla Homol.Dic.2014'!S17</f>
        <v>457587</v>
      </c>
      <c r="T27" s="45">
        <f>+'[2]Tabla Homol.Dic.2014'!T17</f>
        <v>449183</v>
      </c>
      <c r="U27" s="45">
        <f>+'[2]Tabla Homol.Dic.2014'!U17</f>
        <v>408116</v>
      </c>
      <c r="AI27" s="47"/>
    </row>
    <row r="28" spans="1:36" s="44" customFormat="1" x14ac:dyDescent="0.2">
      <c r="B28" s="45">
        <f>+B17-'[2]Tabla Homol.Dic.2014'!B17</f>
        <v>244000</v>
      </c>
      <c r="C28" s="45">
        <f>+C17-'[2]Tabla Homol.Dic.2014'!C17</f>
        <v>128391</v>
      </c>
      <c r="D28" s="45">
        <f>+D17-'[2]Tabla Homol.Dic.2014'!D17</f>
        <v>122501</v>
      </c>
      <c r="E28" s="45">
        <f>+E17-'[2]Tabla Homol.Dic.2014'!E17</f>
        <v>117694</v>
      </c>
      <c r="F28" s="45">
        <f>+F17-'[2]Tabla Homol.Dic.2014'!F17</f>
        <v>106245</v>
      </c>
      <c r="G28" s="45">
        <f>+G17-'[2]Tabla Homol.Dic.2014'!G17</f>
        <v>107361</v>
      </c>
      <c r="H28" s="45">
        <f>+H17-'[2]Tabla Homol.Dic.2014'!H17</f>
        <v>87372</v>
      </c>
      <c r="I28" s="45">
        <f>+I17-'[2]Tabla Homol.Dic.2014'!I17</f>
        <v>81753</v>
      </c>
      <c r="J28" s="45">
        <f>+J17-'[2]Tabla Homol.Dic.2014'!J17</f>
        <v>72462</v>
      </c>
      <c r="K28" s="45">
        <f>+K17-'[2]Tabla Homol.Dic.2014'!K17</f>
        <v>61935</v>
      </c>
      <c r="L28" s="45">
        <f>+L17-'[2]Tabla Homol.Dic.2014'!L17</f>
        <v>54044</v>
      </c>
      <c r="M28" s="45">
        <f>+M17-'[2]Tabla Homol.Dic.2014'!M17</f>
        <v>50302</v>
      </c>
      <c r="N28" s="45">
        <f>+N17-'[2]Tabla Homol.Dic.2014'!N17</f>
        <v>44722</v>
      </c>
      <c r="O28" s="45">
        <f>+O17-'[2]Tabla Homol.Dic.2014'!O17</f>
        <v>40235</v>
      </c>
      <c r="P28" s="45">
        <f>+P17-'[2]Tabla Homol.Dic.2014'!P17</f>
        <v>36371</v>
      </c>
      <c r="Q28" s="45">
        <f>+Q17-'[2]Tabla Homol.Dic.2014'!Q17</f>
        <v>34606</v>
      </c>
      <c r="R28" s="45">
        <f>+R17-'[2]Tabla Homol.Dic.2014'!R17</f>
        <v>34227</v>
      </c>
      <c r="S28" s="45">
        <f>+S17-'[2]Tabla Homol.Dic.2014'!S17</f>
        <v>32124</v>
      </c>
      <c r="T28" s="45">
        <f>+T17-'[2]Tabla Homol.Dic.2014'!T17</f>
        <v>28293</v>
      </c>
      <c r="U28" s="45">
        <f>+U17-'[2]Tabla Homol.Dic.2014'!U17</f>
        <v>25985</v>
      </c>
      <c r="AI28" s="47"/>
    </row>
    <row r="29" spans="1:36" s="50" customFormat="1" ht="22.5" x14ac:dyDescent="0.2">
      <c r="A29" s="48" t="s">
        <v>12</v>
      </c>
      <c r="B29" s="49">
        <f>+B28+'[2]Tabla Homol.Dic.2014'!B25</f>
        <v>244000</v>
      </c>
      <c r="C29" s="49">
        <f>+C28+'[2]Tabla Homol.Dic.2014'!C25</f>
        <v>128391</v>
      </c>
      <c r="D29" s="49">
        <f>+D28+'[2]Tabla Homol.Dic.2014'!D25</f>
        <v>122501</v>
      </c>
      <c r="E29" s="49">
        <f>+E28+'[2]Tabla Homol.Dic.2014'!E25</f>
        <v>117694</v>
      </c>
      <c r="F29" s="49">
        <f>+F28+'[2]Tabla Homol.Dic.2014'!F25</f>
        <v>106245</v>
      </c>
      <c r="G29" s="49">
        <f>+G28+'[2]Tabla Homol.Dic.2014'!G25</f>
        <v>107361</v>
      </c>
      <c r="H29" s="49">
        <f>+H28+'[2]Tabla Homol.Dic.2014'!H25</f>
        <v>87372</v>
      </c>
      <c r="I29" s="49">
        <f>+I28+'[2]Tabla Homol.Dic.2014'!I25</f>
        <v>81753</v>
      </c>
      <c r="J29" s="49">
        <f>+J28+'[2]Tabla Homol.Dic.2014'!J25</f>
        <v>72462</v>
      </c>
      <c r="K29" s="49">
        <f>+K28+'[2]Tabla Homol.Dic.2014'!K25</f>
        <v>61935</v>
      </c>
      <c r="L29" s="49">
        <f>+L28+'[2]Tabla Homol.Dic.2014'!L25</f>
        <v>54044</v>
      </c>
      <c r="M29" s="49">
        <f>+M28+'[2]Tabla Homol.Dic.2014'!M25</f>
        <v>50302</v>
      </c>
      <c r="N29" s="49">
        <f>+N28+'[2]Tabla Homol.Dic.2014'!N25</f>
        <v>44722</v>
      </c>
      <c r="O29" s="49">
        <f>+O28+'[2]Tabla Homol.Dic.2014'!O25</f>
        <v>40235</v>
      </c>
      <c r="P29" s="49">
        <f>+P28+'[2]Tabla Homol.Dic.2014'!P25</f>
        <v>36371</v>
      </c>
      <c r="Q29" s="49">
        <f>+Q28+'[2]Tabla Homol.Dic.2014'!Q25</f>
        <v>34606</v>
      </c>
      <c r="R29" s="49">
        <f>+R28+'[2]Tabla Homol.Dic.2014'!R25</f>
        <v>34227</v>
      </c>
      <c r="S29" s="49">
        <f>+S28+'[2]Tabla Homol.Dic.2014'!S25</f>
        <v>32124</v>
      </c>
      <c r="T29" s="49">
        <f>+T28+'[2]Tabla Homol.Dic.2014'!T25</f>
        <v>28293</v>
      </c>
      <c r="U29" s="49">
        <f>+U28+'[2]Tabla Homol.Dic.2014'!U25</f>
        <v>25985</v>
      </c>
      <c r="AI29" s="51"/>
    </row>
    <row r="30" spans="1:36" x14ac:dyDescent="0.2">
      <c r="C30" s="5"/>
      <c r="D30" s="5"/>
      <c r="E30" s="5"/>
      <c r="F30" s="5"/>
      <c r="G30" s="5"/>
      <c r="H30" s="5"/>
      <c r="I30" s="5"/>
      <c r="K30" s="5"/>
      <c r="L30" s="4"/>
      <c r="M30" s="6"/>
      <c r="N30" s="52"/>
      <c r="O30" s="52"/>
      <c r="P30" s="52"/>
    </row>
    <row r="31" spans="1:36" s="53" customFormat="1" ht="15.75" x14ac:dyDescent="0.25">
      <c r="B31" s="301" t="s">
        <v>13</v>
      </c>
      <c r="C31" s="302"/>
      <c r="D31" s="302"/>
      <c r="E31" s="302"/>
      <c r="F31" s="302"/>
      <c r="G31" s="302"/>
      <c r="H31" s="303"/>
      <c r="I31" s="54"/>
      <c r="J31" s="301" t="s">
        <v>14</v>
      </c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3"/>
      <c r="AI31" s="55"/>
    </row>
    <row r="32" spans="1:36" x14ac:dyDescent="0.2">
      <c r="B32" s="56"/>
      <c r="C32" s="57"/>
      <c r="D32" s="57"/>
      <c r="E32" s="57"/>
      <c r="F32" s="57"/>
      <c r="G32" s="57"/>
      <c r="H32" s="58"/>
      <c r="I32" s="5"/>
      <c r="J32" s="304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6"/>
    </row>
    <row r="33" spans="2:35" ht="12.75" x14ac:dyDescent="0.2">
      <c r="B33" s="299" t="s">
        <v>15</v>
      </c>
      <c r="C33" s="296" t="s">
        <v>16</v>
      </c>
      <c r="D33" s="296" t="s">
        <v>17</v>
      </c>
      <c r="E33" s="307" t="s">
        <v>18</v>
      </c>
      <c r="F33" s="307"/>
      <c r="G33" s="307"/>
      <c r="H33" s="299" t="s">
        <v>15</v>
      </c>
      <c r="I33" s="5"/>
      <c r="J33" s="308" t="s">
        <v>19</v>
      </c>
      <c r="K33" s="310" t="s">
        <v>20</v>
      </c>
      <c r="L33" s="311"/>
      <c r="M33" s="311"/>
      <c r="N33" s="312"/>
      <c r="O33" s="59" t="s">
        <v>21</v>
      </c>
      <c r="P33" s="313">
        <v>0.30599999999999999</v>
      </c>
      <c r="Q33" s="314"/>
      <c r="R33" s="314"/>
      <c r="S33" s="314"/>
      <c r="T33" s="315"/>
      <c r="U33" s="308" t="s">
        <v>19</v>
      </c>
      <c r="Y33" s="60"/>
      <c r="Z33" s="61" t="s">
        <v>22</v>
      </c>
      <c r="AA33" s="62"/>
      <c r="AB33" s="63"/>
      <c r="AI33" s="4"/>
    </row>
    <row r="34" spans="2:35" ht="18.75" customHeight="1" x14ac:dyDescent="0.2">
      <c r="B34" s="299"/>
      <c r="C34" s="297"/>
      <c r="D34" s="297"/>
      <c r="E34" s="64" t="s">
        <v>23</v>
      </c>
      <c r="F34" s="65">
        <v>0.25</v>
      </c>
      <c r="G34" s="65">
        <v>0.5</v>
      </c>
      <c r="H34" s="299"/>
      <c r="I34" s="5"/>
      <c r="J34" s="309"/>
      <c r="K34" s="66" t="s">
        <v>24</v>
      </c>
      <c r="L34" s="64" t="s">
        <v>25</v>
      </c>
      <c r="M34" s="64" t="s">
        <v>26</v>
      </c>
      <c r="N34" s="67" t="s">
        <v>27</v>
      </c>
      <c r="O34" s="68" t="s">
        <v>28</v>
      </c>
      <c r="P34" s="69" t="s">
        <v>29</v>
      </c>
      <c r="Q34" s="70">
        <f>+S60</f>
        <v>0.15</v>
      </c>
      <c r="R34" s="70">
        <f>+S61</f>
        <v>7.5999999999999998E-2</v>
      </c>
      <c r="S34" s="70">
        <f>+S62</f>
        <v>0.08</v>
      </c>
      <c r="T34" s="71">
        <f>+S63</f>
        <v>0.30599999999999999</v>
      </c>
      <c r="U34" s="309"/>
      <c r="V34" s="72"/>
      <c r="W34" s="72"/>
      <c r="Y34" s="64" t="s">
        <v>30</v>
      </c>
      <c r="Z34" s="73" t="s">
        <v>29</v>
      </c>
      <c r="AA34" s="74" t="s">
        <v>31</v>
      </c>
      <c r="AB34" s="75" t="s">
        <v>32</v>
      </c>
      <c r="AC34" s="7" t="s">
        <v>33</v>
      </c>
      <c r="AD34" s="7"/>
      <c r="AI34" s="4"/>
    </row>
    <row r="35" spans="2:35" x14ac:dyDescent="0.2">
      <c r="B35" s="76">
        <v>1</v>
      </c>
      <c r="C35" s="77">
        <f>+B5</f>
        <v>593613</v>
      </c>
      <c r="D35" s="77">
        <f>+B7</f>
        <v>2204760</v>
      </c>
      <c r="E35" s="11">
        <f>+(C35+D35)/190</f>
        <v>14728.278947368421</v>
      </c>
      <c r="F35" s="78">
        <f>+E35*1.25</f>
        <v>18410.348684210527</v>
      </c>
      <c r="G35" s="78">
        <f>+E35*1.5</f>
        <v>22092.418421052629</v>
      </c>
      <c r="H35" s="64">
        <f>+B35</f>
        <v>1</v>
      </c>
      <c r="I35" s="5"/>
      <c r="J35" s="64">
        <v>1</v>
      </c>
      <c r="K35" s="79">
        <f t="shared" ref="K35:K54" si="6">HLOOKUP($J$35:$J$54,Grados2015,3,0)</f>
        <v>593613</v>
      </c>
      <c r="L35" s="79">
        <f t="shared" ref="L35:L54" si="7">HLOOKUP($J$35:$J$54,Grados2015,5,0)</f>
        <v>2204760</v>
      </c>
      <c r="M35" s="79">
        <f t="shared" ref="M35:M54" si="8">HLOOKUP($J$35:$J$54,Grados2015,8,0)</f>
        <v>18351</v>
      </c>
      <c r="N35" s="79">
        <f t="shared" ref="N35:N54" si="9">HLOOKUP($J$35:$J$54,Grados2015,10,0)</f>
        <v>0</v>
      </c>
      <c r="O35" s="77">
        <f>SUM(K35:N35)</f>
        <v>2816724</v>
      </c>
      <c r="P35" s="80">
        <f>ROUND(O35*$P$33,0)</f>
        <v>861918</v>
      </c>
      <c r="Q35" s="78">
        <f>ROUND(O35*Q$34*3,0)</f>
        <v>1267526</v>
      </c>
      <c r="R35" s="78">
        <f>ROUND(O35*R$34*3,0)</f>
        <v>642213</v>
      </c>
      <c r="S35" s="78">
        <f>ROUND(O35*S$34*3,0)</f>
        <v>676014</v>
      </c>
      <c r="T35" s="80">
        <f>SUM(Q35:S35)</f>
        <v>2585753</v>
      </c>
      <c r="U35" s="64">
        <v>1</v>
      </c>
      <c r="V35" s="21"/>
      <c r="W35" s="21"/>
      <c r="Y35" s="64">
        <f t="shared" ref="Y35:Y53" si="10">+J35</f>
        <v>1</v>
      </c>
      <c r="Z35" s="81">
        <f>+'[3]Tabla Homologada Enero-Nov.2013'!Q32</f>
        <v>243107</v>
      </c>
      <c r="AA35" s="82">
        <f>Z35*3</f>
        <v>729321</v>
      </c>
      <c r="AB35" s="83">
        <f t="shared" ref="AB35:AB53" si="11">Z35*12</f>
        <v>2917284</v>
      </c>
      <c r="AC35" s="7">
        <v>1</v>
      </c>
      <c r="AD35" s="12"/>
      <c r="AI35" s="4"/>
    </row>
    <row r="36" spans="2:35" x14ac:dyDescent="0.2">
      <c r="B36" s="76">
        <v>2</v>
      </c>
      <c r="C36" s="77">
        <f>+C5</f>
        <v>560275</v>
      </c>
      <c r="D36" s="77">
        <f>+C7</f>
        <v>2109315</v>
      </c>
      <c r="E36" s="11">
        <f t="shared" ref="E36:E54" si="12">+(C36+D36)/190</f>
        <v>14050.473684210527</v>
      </c>
      <c r="F36" s="78">
        <f t="shared" ref="F36:F52" si="13">+E36*1.25</f>
        <v>17563.09210526316</v>
      </c>
      <c r="G36" s="78">
        <f t="shared" ref="G36:G54" si="14">+E36*1.5</f>
        <v>21075.71052631579</v>
      </c>
      <c r="H36" s="64">
        <f t="shared" ref="H36:H54" si="15">+B36</f>
        <v>2</v>
      </c>
      <c r="I36" s="5"/>
      <c r="J36" s="64">
        <v>2</v>
      </c>
      <c r="K36" s="79">
        <f t="shared" si="6"/>
        <v>560275</v>
      </c>
      <c r="L36" s="79">
        <f t="shared" si="7"/>
        <v>2109315</v>
      </c>
      <c r="M36" s="79">
        <f t="shared" si="8"/>
        <v>18351</v>
      </c>
      <c r="N36" s="79">
        <f t="shared" si="9"/>
        <v>0</v>
      </c>
      <c r="O36" s="77">
        <f t="shared" ref="O36:O53" si="16">SUM(K36:N36)</f>
        <v>2687941</v>
      </c>
      <c r="P36" s="80">
        <f t="shared" ref="P36:P54" si="17">ROUND(O36*$P$33,0)</f>
        <v>822510</v>
      </c>
      <c r="Q36" s="78">
        <f t="shared" ref="Q36:Q54" si="18">ROUND(O36*Q$34*3,0)</f>
        <v>1209573</v>
      </c>
      <c r="R36" s="78">
        <f t="shared" ref="R36:R54" si="19">ROUND(O36*R$34*3,0)</f>
        <v>612851</v>
      </c>
      <c r="S36" s="78">
        <f t="shared" ref="S36:S54" si="20">ROUND(O36*S$34*3,0)</f>
        <v>645106</v>
      </c>
      <c r="T36" s="80">
        <f t="shared" ref="T36:T54" si="21">SUM(Q36:S36)</f>
        <v>2467530</v>
      </c>
      <c r="U36" s="64">
        <v>2</v>
      </c>
      <c r="V36" s="21"/>
      <c r="W36" s="21"/>
      <c r="Y36" s="64">
        <f t="shared" si="10"/>
        <v>2</v>
      </c>
      <c r="Z36" s="81">
        <f>+'[3]Tabla Homologada Enero-Nov.2013'!Q33</f>
        <v>231992</v>
      </c>
      <c r="AA36" s="82">
        <f t="shared" ref="AA36:AA54" si="22">Z36*3</f>
        <v>695976</v>
      </c>
      <c r="AB36" s="83">
        <f t="shared" si="11"/>
        <v>2783904</v>
      </c>
      <c r="AC36" s="7">
        <v>0</v>
      </c>
      <c r="AD36" s="12"/>
      <c r="AI36" s="4"/>
    </row>
    <row r="37" spans="2:35" x14ac:dyDescent="0.2">
      <c r="B37" s="76">
        <v>3</v>
      </c>
      <c r="C37" s="77">
        <f>+D5</f>
        <v>591559</v>
      </c>
      <c r="D37" s="77">
        <f>++D7</f>
        <v>1739343</v>
      </c>
      <c r="E37" s="11">
        <f t="shared" si="12"/>
        <v>12267.905263157894</v>
      </c>
      <c r="F37" s="78">
        <f t="shared" si="13"/>
        <v>15334.881578947368</v>
      </c>
      <c r="G37" s="78">
        <f t="shared" si="14"/>
        <v>18401.857894736841</v>
      </c>
      <c r="H37" s="64">
        <f t="shared" si="15"/>
        <v>3</v>
      </c>
      <c r="I37" s="5"/>
      <c r="J37" s="64">
        <v>3</v>
      </c>
      <c r="K37" s="79">
        <f t="shared" si="6"/>
        <v>591559</v>
      </c>
      <c r="L37" s="79">
        <f t="shared" si="7"/>
        <v>1739343</v>
      </c>
      <c r="M37" s="79">
        <f t="shared" si="8"/>
        <v>18351</v>
      </c>
      <c r="N37" s="79">
        <f t="shared" si="9"/>
        <v>25172</v>
      </c>
      <c r="O37" s="77">
        <f t="shared" si="16"/>
        <v>2374425</v>
      </c>
      <c r="P37" s="80">
        <f t="shared" si="17"/>
        <v>726574</v>
      </c>
      <c r="Q37" s="78">
        <f t="shared" si="18"/>
        <v>1068491</v>
      </c>
      <c r="R37" s="78">
        <f t="shared" si="19"/>
        <v>541369</v>
      </c>
      <c r="S37" s="78">
        <f t="shared" si="20"/>
        <v>569862</v>
      </c>
      <c r="T37" s="80">
        <f t="shared" si="21"/>
        <v>2179722</v>
      </c>
      <c r="U37" s="64">
        <v>3</v>
      </c>
      <c r="V37" s="21"/>
      <c r="W37" s="21"/>
      <c r="Y37" s="64">
        <f t="shared" si="10"/>
        <v>3</v>
      </c>
      <c r="Z37" s="81">
        <f>+'[3]Tabla Homologada Enero-Nov.2013'!Q34</f>
        <v>204200</v>
      </c>
      <c r="AA37" s="82">
        <f t="shared" si="22"/>
        <v>612600</v>
      </c>
      <c r="AB37" s="83">
        <f t="shared" si="11"/>
        <v>2450400</v>
      </c>
      <c r="AC37" s="7">
        <v>4</v>
      </c>
      <c r="AD37" s="12"/>
      <c r="AI37" s="4"/>
    </row>
    <row r="38" spans="2:35" x14ac:dyDescent="0.2">
      <c r="B38" s="76">
        <v>4</v>
      </c>
      <c r="C38" s="77">
        <f>+E5</f>
        <v>558089</v>
      </c>
      <c r="D38" s="77">
        <f>+E7</f>
        <v>1687542</v>
      </c>
      <c r="E38" s="11">
        <f t="shared" si="12"/>
        <v>11819.11052631579</v>
      </c>
      <c r="F38" s="78">
        <f t="shared" si="13"/>
        <v>14773.888157894737</v>
      </c>
      <c r="G38" s="78">
        <f t="shared" si="14"/>
        <v>17728.665789473685</v>
      </c>
      <c r="H38" s="64">
        <f t="shared" si="15"/>
        <v>4</v>
      </c>
      <c r="I38" s="5"/>
      <c r="J38" s="64">
        <v>4</v>
      </c>
      <c r="K38" s="79">
        <f t="shared" si="6"/>
        <v>558089</v>
      </c>
      <c r="L38" s="79">
        <f t="shared" si="7"/>
        <v>1687542</v>
      </c>
      <c r="M38" s="79">
        <f t="shared" si="8"/>
        <v>18351</v>
      </c>
      <c r="N38" s="79">
        <f t="shared" si="9"/>
        <v>25172</v>
      </c>
      <c r="O38" s="77">
        <f t="shared" si="16"/>
        <v>2289154</v>
      </c>
      <c r="P38" s="80">
        <f t="shared" si="17"/>
        <v>700481</v>
      </c>
      <c r="Q38" s="78">
        <f t="shared" si="18"/>
        <v>1030119</v>
      </c>
      <c r="R38" s="78">
        <f t="shared" si="19"/>
        <v>521927</v>
      </c>
      <c r="S38" s="78">
        <f t="shared" si="20"/>
        <v>549397</v>
      </c>
      <c r="T38" s="80">
        <f t="shared" si="21"/>
        <v>2101443</v>
      </c>
      <c r="U38" s="64">
        <v>4</v>
      </c>
      <c r="V38" s="21"/>
      <c r="W38" s="21"/>
      <c r="Y38" s="64">
        <f t="shared" si="10"/>
        <v>4</v>
      </c>
      <c r="Z38" s="81">
        <f>+'[3]Tabla Homologada Enero-Nov.2013'!Q35</f>
        <v>196977</v>
      </c>
      <c r="AA38" s="82">
        <f t="shared" si="22"/>
        <v>590931</v>
      </c>
      <c r="AB38" s="83">
        <f t="shared" si="11"/>
        <v>2363724</v>
      </c>
      <c r="AC38" s="7">
        <v>5</v>
      </c>
      <c r="AD38" s="12"/>
      <c r="AI38" s="4"/>
    </row>
    <row r="39" spans="2:35" x14ac:dyDescent="0.2">
      <c r="B39" s="76">
        <v>5</v>
      </c>
      <c r="C39" s="77">
        <f>+F5</f>
        <v>526519</v>
      </c>
      <c r="D39" s="77">
        <f>+F7</f>
        <v>1450403</v>
      </c>
      <c r="E39" s="11">
        <f t="shared" si="12"/>
        <v>10404.852631578948</v>
      </c>
      <c r="F39" s="78">
        <f t="shared" si="13"/>
        <v>13006.065789473685</v>
      </c>
      <c r="G39" s="78">
        <f t="shared" si="14"/>
        <v>15607.278947368421</v>
      </c>
      <c r="H39" s="64">
        <f t="shared" si="15"/>
        <v>5</v>
      </c>
      <c r="I39" s="6"/>
      <c r="J39" s="64">
        <v>5</v>
      </c>
      <c r="K39" s="79">
        <f t="shared" si="6"/>
        <v>526519</v>
      </c>
      <c r="L39" s="79">
        <f t="shared" si="7"/>
        <v>1450403</v>
      </c>
      <c r="M39" s="79">
        <f t="shared" si="8"/>
        <v>18351</v>
      </c>
      <c r="N39" s="79">
        <f t="shared" si="9"/>
        <v>25172</v>
      </c>
      <c r="O39" s="77">
        <f t="shared" si="16"/>
        <v>2020445</v>
      </c>
      <c r="P39" s="80">
        <f t="shared" si="17"/>
        <v>618256</v>
      </c>
      <c r="Q39" s="78">
        <f t="shared" si="18"/>
        <v>909200</v>
      </c>
      <c r="R39" s="78">
        <f t="shared" si="19"/>
        <v>460661</v>
      </c>
      <c r="S39" s="78">
        <f t="shared" si="20"/>
        <v>484907</v>
      </c>
      <c r="T39" s="80">
        <f t="shared" si="21"/>
        <v>1854768</v>
      </c>
      <c r="U39" s="64">
        <v>5</v>
      </c>
      <c r="V39" s="21"/>
      <c r="W39" s="21"/>
      <c r="Y39" s="64">
        <f t="shared" si="10"/>
        <v>5</v>
      </c>
      <c r="Z39" s="81">
        <f>+'[3]Tabla Homologada Enero-Nov.2013'!Q36</f>
        <v>173853</v>
      </c>
      <c r="AA39" s="82">
        <f t="shared" si="22"/>
        <v>521559</v>
      </c>
      <c r="AB39" s="83">
        <f t="shared" si="11"/>
        <v>2086236</v>
      </c>
      <c r="AC39" s="7">
        <v>3</v>
      </c>
      <c r="AD39" s="12"/>
      <c r="AI39" s="4"/>
    </row>
    <row r="40" spans="2:35" x14ac:dyDescent="0.2">
      <c r="B40" s="76">
        <v>6</v>
      </c>
      <c r="C40" s="77">
        <f>+G5</f>
        <v>496677</v>
      </c>
      <c r="D40" s="77">
        <f>+G7</f>
        <v>1225702</v>
      </c>
      <c r="E40" s="11">
        <f t="shared" si="12"/>
        <v>9065.152631578947</v>
      </c>
      <c r="F40" s="78">
        <f t="shared" si="13"/>
        <v>11331.440789473683</v>
      </c>
      <c r="G40" s="78">
        <f t="shared" si="14"/>
        <v>13597.728947368421</v>
      </c>
      <c r="H40" s="64">
        <f t="shared" si="15"/>
        <v>6</v>
      </c>
      <c r="I40" s="6"/>
      <c r="J40" s="64">
        <v>6</v>
      </c>
      <c r="K40" s="79">
        <f t="shared" si="6"/>
        <v>496677</v>
      </c>
      <c r="L40" s="79">
        <f t="shared" si="7"/>
        <v>1225702</v>
      </c>
      <c r="M40" s="79">
        <f t="shared" si="8"/>
        <v>18351</v>
      </c>
      <c r="N40" s="79">
        <f t="shared" si="9"/>
        <v>28947</v>
      </c>
      <c r="O40" s="77">
        <f t="shared" si="16"/>
        <v>1769677</v>
      </c>
      <c r="P40" s="80">
        <f t="shared" si="17"/>
        <v>541521</v>
      </c>
      <c r="Q40" s="78">
        <f t="shared" si="18"/>
        <v>796355</v>
      </c>
      <c r="R40" s="78">
        <f t="shared" si="19"/>
        <v>403486</v>
      </c>
      <c r="S40" s="78">
        <f t="shared" si="20"/>
        <v>424722</v>
      </c>
      <c r="T40" s="80">
        <f t="shared" si="21"/>
        <v>1624563</v>
      </c>
      <c r="U40" s="64">
        <v>6</v>
      </c>
      <c r="V40" s="21"/>
      <c r="W40" s="21"/>
      <c r="X40" s="21"/>
      <c r="Y40" s="64">
        <f t="shared" si="10"/>
        <v>6</v>
      </c>
      <c r="Z40" s="81">
        <f>+'[3]Tabla Homologada Enero-Nov.2013'!Q37</f>
        <v>150840</v>
      </c>
      <c r="AA40" s="82">
        <f t="shared" si="22"/>
        <v>452520</v>
      </c>
      <c r="AB40" s="83">
        <f t="shared" si="11"/>
        <v>1810080</v>
      </c>
      <c r="AC40" s="7">
        <f>17+4</f>
        <v>21</v>
      </c>
      <c r="AD40" s="12"/>
      <c r="AI40" s="4"/>
    </row>
    <row r="41" spans="2:35" x14ac:dyDescent="0.2">
      <c r="B41" s="76">
        <v>7</v>
      </c>
      <c r="C41" s="77">
        <f>+H5</f>
        <v>457814</v>
      </c>
      <c r="D41" s="77">
        <f>+H7</f>
        <v>919186</v>
      </c>
      <c r="E41" s="11">
        <f>+(C41+D41)/190</f>
        <v>7247.3684210526317</v>
      </c>
      <c r="F41" s="78">
        <f t="shared" si="13"/>
        <v>9059.21052631579</v>
      </c>
      <c r="G41" s="78">
        <f t="shared" si="14"/>
        <v>10871.052631578947</v>
      </c>
      <c r="H41" s="64">
        <f t="shared" si="15"/>
        <v>7</v>
      </c>
      <c r="J41" s="64">
        <v>7</v>
      </c>
      <c r="K41" s="79">
        <f t="shared" si="6"/>
        <v>457814</v>
      </c>
      <c r="L41" s="79">
        <f t="shared" si="7"/>
        <v>919186</v>
      </c>
      <c r="M41" s="79">
        <f t="shared" si="8"/>
        <v>18351</v>
      </c>
      <c r="N41" s="79">
        <f t="shared" si="9"/>
        <v>28947</v>
      </c>
      <c r="O41" s="77">
        <f t="shared" si="16"/>
        <v>1424298</v>
      </c>
      <c r="P41" s="80">
        <f>ROUND(O41*$P$33,0)</f>
        <v>435835</v>
      </c>
      <c r="Q41" s="78">
        <f t="shared" si="18"/>
        <v>640934</v>
      </c>
      <c r="R41" s="78">
        <f t="shared" si="19"/>
        <v>324740</v>
      </c>
      <c r="S41" s="78">
        <f t="shared" si="20"/>
        <v>341832</v>
      </c>
      <c r="T41" s="80">
        <f>SUM(Q41:S41)</f>
        <v>1307506</v>
      </c>
      <c r="U41" s="64">
        <v>7</v>
      </c>
      <c r="V41" s="21"/>
      <c r="W41" s="21"/>
      <c r="Y41" s="64">
        <f t="shared" si="10"/>
        <v>7</v>
      </c>
      <c r="Z41" s="81">
        <f>+'[3]Tabla Homologada Enero-Nov.2013'!Q38</f>
        <v>121259</v>
      </c>
      <c r="AA41" s="82">
        <f t="shared" si="22"/>
        <v>363777</v>
      </c>
      <c r="AB41" s="83">
        <f t="shared" si="11"/>
        <v>1455108</v>
      </c>
      <c r="AC41" s="7">
        <f>22+5</f>
        <v>27</v>
      </c>
      <c r="AD41" s="12"/>
      <c r="AI41" s="4"/>
    </row>
    <row r="42" spans="2:35" x14ac:dyDescent="0.2">
      <c r="B42" s="76">
        <v>8</v>
      </c>
      <c r="C42" s="77">
        <f>+I5</f>
        <v>423865</v>
      </c>
      <c r="D42" s="77">
        <f>+I7</f>
        <v>705744</v>
      </c>
      <c r="E42" s="11">
        <f t="shared" si="12"/>
        <v>5945.3105263157895</v>
      </c>
      <c r="F42" s="78">
        <f t="shared" si="13"/>
        <v>7431.6381578947367</v>
      </c>
      <c r="G42" s="78">
        <f t="shared" si="14"/>
        <v>8917.9657894736847</v>
      </c>
      <c r="H42" s="64">
        <f t="shared" si="15"/>
        <v>8</v>
      </c>
      <c r="J42" s="64">
        <v>8</v>
      </c>
      <c r="K42" s="79">
        <f t="shared" si="6"/>
        <v>423865</v>
      </c>
      <c r="L42" s="79">
        <f t="shared" si="7"/>
        <v>705744</v>
      </c>
      <c r="M42" s="79">
        <f t="shared" si="8"/>
        <v>18351</v>
      </c>
      <c r="N42" s="79">
        <f t="shared" si="9"/>
        <v>28947</v>
      </c>
      <c r="O42" s="77">
        <f t="shared" si="16"/>
        <v>1176907</v>
      </c>
      <c r="P42" s="80">
        <f t="shared" si="17"/>
        <v>360134</v>
      </c>
      <c r="Q42" s="78">
        <f t="shared" si="18"/>
        <v>529608</v>
      </c>
      <c r="R42" s="78">
        <f t="shared" si="19"/>
        <v>268335</v>
      </c>
      <c r="S42" s="78">
        <f t="shared" si="20"/>
        <v>282458</v>
      </c>
      <c r="T42" s="80">
        <f t="shared" si="21"/>
        <v>1080401</v>
      </c>
      <c r="U42" s="64">
        <v>8</v>
      </c>
      <c r="V42" s="21"/>
      <c r="W42" s="21"/>
      <c r="Y42" s="64">
        <f t="shared" si="10"/>
        <v>8</v>
      </c>
      <c r="Z42" s="81">
        <f>+'[3]Tabla Homologada Enero-Nov.2013'!Q39</f>
        <v>99030</v>
      </c>
      <c r="AA42" s="82">
        <f t="shared" si="22"/>
        <v>297090</v>
      </c>
      <c r="AB42" s="83">
        <f t="shared" si="11"/>
        <v>1188360</v>
      </c>
      <c r="AC42" s="7">
        <f>21+11</f>
        <v>32</v>
      </c>
      <c r="AD42" s="12"/>
      <c r="AI42" s="4"/>
    </row>
    <row r="43" spans="2:35" x14ac:dyDescent="0.2">
      <c r="B43" s="76">
        <v>9</v>
      </c>
      <c r="C43" s="77">
        <f>+J5</f>
        <v>392429</v>
      </c>
      <c r="D43" s="77">
        <f>+J7</f>
        <v>542279</v>
      </c>
      <c r="E43" s="11">
        <f t="shared" si="12"/>
        <v>4919.515789473684</v>
      </c>
      <c r="F43" s="78">
        <f t="shared" si="13"/>
        <v>6149.394736842105</v>
      </c>
      <c r="G43" s="78">
        <f t="shared" si="14"/>
        <v>7379.273684210526</v>
      </c>
      <c r="H43" s="64">
        <f t="shared" si="15"/>
        <v>9</v>
      </c>
      <c r="I43" s="5"/>
      <c r="J43" s="64">
        <v>9</v>
      </c>
      <c r="K43" s="79">
        <f t="shared" si="6"/>
        <v>392429</v>
      </c>
      <c r="L43" s="79">
        <f t="shared" si="7"/>
        <v>542279</v>
      </c>
      <c r="M43" s="79">
        <f t="shared" si="8"/>
        <v>18351</v>
      </c>
      <c r="N43" s="79">
        <f t="shared" si="9"/>
        <v>28947</v>
      </c>
      <c r="O43" s="77">
        <f t="shared" si="16"/>
        <v>982006</v>
      </c>
      <c r="P43" s="80">
        <f t="shared" si="17"/>
        <v>300494</v>
      </c>
      <c r="Q43" s="78">
        <f t="shared" si="18"/>
        <v>441903</v>
      </c>
      <c r="R43" s="78">
        <f t="shared" si="19"/>
        <v>223897</v>
      </c>
      <c r="S43" s="78">
        <f t="shared" si="20"/>
        <v>235681</v>
      </c>
      <c r="T43" s="80">
        <f>SUM(Q43:S43)</f>
        <v>901481</v>
      </c>
      <c r="U43" s="64">
        <v>9</v>
      </c>
      <c r="V43" s="21">
        <v>848000</v>
      </c>
      <c r="W43" s="21">
        <f>+V43/T43</f>
        <v>0.94067429041765716</v>
      </c>
      <c r="X43" s="21"/>
      <c r="Y43" s="64">
        <f t="shared" si="10"/>
        <v>9</v>
      </c>
      <c r="Z43" s="81">
        <f>+'[3]Tabla Homologada Enero-Nov.2013'!Q40</f>
        <v>82126</v>
      </c>
      <c r="AA43" s="82">
        <f t="shared" si="22"/>
        <v>246378</v>
      </c>
      <c r="AB43" s="83">
        <f t="shared" si="11"/>
        <v>985512</v>
      </c>
      <c r="AC43" s="7">
        <f>20+7</f>
        <v>27</v>
      </c>
      <c r="AD43" s="12"/>
      <c r="AI43" s="4"/>
    </row>
    <row r="44" spans="2:35" x14ac:dyDescent="0.2">
      <c r="B44" s="76">
        <v>10</v>
      </c>
      <c r="C44" s="77">
        <f>+K5</f>
        <v>363387</v>
      </c>
      <c r="D44" s="77">
        <f>+K7</f>
        <v>409903</v>
      </c>
      <c r="E44" s="11">
        <f t="shared" si="12"/>
        <v>4069.9473684210525</v>
      </c>
      <c r="F44" s="78">
        <f t="shared" si="13"/>
        <v>5087.4342105263158</v>
      </c>
      <c r="G44" s="78">
        <f t="shared" si="14"/>
        <v>6104.9210526315783</v>
      </c>
      <c r="H44" s="64">
        <f t="shared" si="15"/>
        <v>10</v>
      </c>
      <c r="I44" s="85"/>
      <c r="J44" s="64">
        <v>10</v>
      </c>
      <c r="K44" s="79">
        <f t="shared" si="6"/>
        <v>363387</v>
      </c>
      <c r="L44" s="79">
        <f t="shared" si="7"/>
        <v>409903</v>
      </c>
      <c r="M44" s="79">
        <f t="shared" si="8"/>
        <v>18351</v>
      </c>
      <c r="N44" s="79">
        <f t="shared" si="9"/>
        <v>28947</v>
      </c>
      <c r="O44" s="77">
        <f t="shared" si="16"/>
        <v>820588</v>
      </c>
      <c r="P44" s="80">
        <f t="shared" si="17"/>
        <v>251100</v>
      </c>
      <c r="Q44" s="78">
        <f t="shared" si="18"/>
        <v>369265</v>
      </c>
      <c r="R44" s="78">
        <f t="shared" si="19"/>
        <v>187094</v>
      </c>
      <c r="S44" s="78">
        <f t="shared" si="20"/>
        <v>196941</v>
      </c>
      <c r="T44" s="80">
        <f>SUM(Q44:S44)</f>
        <v>753300</v>
      </c>
      <c r="U44" s="64">
        <v>10</v>
      </c>
      <c r="V44" s="84"/>
      <c r="W44" s="84"/>
      <c r="X44" s="12"/>
      <c r="Y44" s="64">
        <f t="shared" si="10"/>
        <v>10</v>
      </c>
      <c r="Z44" s="81">
        <f>+'[3]Tabla Homologada Enero-Nov.2013'!Q41</f>
        <v>68480</v>
      </c>
      <c r="AA44" s="82">
        <f t="shared" si="22"/>
        <v>205440</v>
      </c>
      <c r="AB44" s="83">
        <f t="shared" si="11"/>
        <v>821760</v>
      </c>
      <c r="AC44" s="7">
        <f>14+6</f>
        <v>20</v>
      </c>
      <c r="AD44" s="12"/>
      <c r="AI44" s="4"/>
    </row>
    <row r="45" spans="2:35" x14ac:dyDescent="0.2">
      <c r="B45" s="76">
        <v>11</v>
      </c>
      <c r="C45" s="77">
        <f>+L5</f>
        <v>336492</v>
      </c>
      <c r="D45" s="77">
        <f>+L7</f>
        <v>309728</v>
      </c>
      <c r="E45" s="11">
        <f t="shared" si="12"/>
        <v>3401.1578947368421</v>
      </c>
      <c r="F45" s="78">
        <f t="shared" si="13"/>
        <v>4251.4473684210525</v>
      </c>
      <c r="G45" s="78">
        <f t="shared" si="14"/>
        <v>5101.7368421052633</v>
      </c>
      <c r="H45" s="64">
        <f t="shared" si="15"/>
        <v>11</v>
      </c>
      <c r="I45" s="6"/>
      <c r="J45" s="64">
        <v>11</v>
      </c>
      <c r="K45" s="79">
        <f t="shared" si="6"/>
        <v>336492</v>
      </c>
      <c r="L45" s="79">
        <f t="shared" si="7"/>
        <v>309728</v>
      </c>
      <c r="M45" s="79">
        <f t="shared" si="8"/>
        <v>18351</v>
      </c>
      <c r="N45" s="79">
        <f t="shared" si="9"/>
        <v>28947</v>
      </c>
      <c r="O45" s="77">
        <f t="shared" si="16"/>
        <v>693518</v>
      </c>
      <c r="P45" s="80">
        <f t="shared" si="17"/>
        <v>212217</v>
      </c>
      <c r="Q45" s="78">
        <f t="shared" si="18"/>
        <v>312083</v>
      </c>
      <c r="R45" s="78">
        <f t="shared" si="19"/>
        <v>158122</v>
      </c>
      <c r="S45" s="78">
        <f t="shared" si="20"/>
        <v>166444</v>
      </c>
      <c r="T45" s="80">
        <f t="shared" si="21"/>
        <v>636649</v>
      </c>
      <c r="U45" s="64">
        <v>11</v>
      </c>
      <c r="V45" s="84"/>
      <c r="W45" s="84"/>
      <c r="X45" s="12"/>
      <c r="Y45" s="64">
        <f t="shared" si="10"/>
        <v>11</v>
      </c>
      <c r="Z45" s="81">
        <f>+'[3]Tabla Homologada Enero-Nov.2013'!Q42</f>
        <v>57683</v>
      </c>
      <c r="AA45" s="82">
        <f t="shared" si="22"/>
        <v>173049</v>
      </c>
      <c r="AB45" s="83">
        <f t="shared" si="11"/>
        <v>692196</v>
      </c>
      <c r="AC45" s="7">
        <f>17+3</f>
        <v>20</v>
      </c>
      <c r="AD45" s="12"/>
      <c r="AI45" s="4"/>
    </row>
    <row r="46" spans="2:35" x14ac:dyDescent="0.2">
      <c r="B46" s="76">
        <v>12</v>
      </c>
      <c r="C46" s="77">
        <f>+M5</f>
        <v>311567</v>
      </c>
      <c r="D46" s="77">
        <f>+M7</f>
        <v>228619</v>
      </c>
      <c r="E46" s="11">
        <f t="shared" si="12"/>
        <v>2843.0842105263159</v>
      </c>
      <c r="F46" s="78">
        <f t="shared" si="13"/>
        <v>3553.855263157895</v>
      </c>
      <c r="G46" s="78">
        <f t="shared" si="14"/>
        <v>4264.6263157894737</v>
      </c>
      <c r="H46" s="64">
        <f t="shared" si="15"/>
        <v>12</v>
      </c>
      <c r="I46" s="6"/>
      <c r="J46" s="64">
        <v>12</v>
      </c>
      <c r="K46" s="79">
        <f t="shared" si="6"/>
        <v>311567</v>
      </c>
      <c r="L46" s="79">
        <f t="shared" si="7"/>
        <v>228619</v>
      </c>
      <c r="M46" s="79">
        <f t="shared" si="8"/>
        <v>68290</v>
      </c>
      <c r="N46" s="79">
        <f t="shared" si="9"/>
        <v>47824</v>
      </c>
      <c r="O46" s="77">
        <f t="shared" si="16"/>
        <v>656300</v>
      </c>
      <c r="P46" s="80">
        <f t="shared" si="17"/>
        <v>200828</v>
      </c>
      <c r="Q46" s="78">
        <f t="shared" si="18"/>
        <v>295335</v>
      </c>
      <c r="R46" s="78">
        <f t="shared" si="19"/>
        <v>149636</v>
      </c>
      <c r="S46" s="78">
        <f t="shared" si="20"/>
        <v>157512</v>
      </c>
      <c r="T46" s="80">
        <f t="shared" si="21"/>
        <v>602483</v>
      </c>
      <c r="U46" s="64">
        <v>12</v>
      </c>
      <c r="V46" s="21"/>
      <c r="W46" s="21"/>
      <c r="X46" s="21"/>
      <c r="Y46" s="64">
        <f t="shared" si="10"/>
        <v>12</v>
      </c>
      <c r="Z46" s="81">
        <f>+'[3]Tabla Homologada Enero-Nov.2013'!Q43</f>
        <v>54635</v>
      </c>
      <c r="AA46" s="82">
        <f t="shared" si="22"/>
        <v>163905</v>
      </c>
      <c r="AB46" s="83">
        <f t="shared" si="11"/>
        <v>655620</v>
      </c>
      <c r="AC46" s="7">
        <f>38+2</f>
        <v>40</v>
      </c>
      <c r="AD46" s="12"/>
      <c r="AI46" s="4"/>
    </row>
    <row r="47" spans="2:35" x14ac:dyDescent="0.2">
      <c r="B47" s="76">
        <v>13</v>
      </c>
      <c r="C47" s="77">
        <f>+N5</f>
        <v>288477</v>
      </c>
      <c r="D47" s="77">
        <f>+N7</f>
        <v>170126</v>
      </c>
      <c r="E47" s="11">
        <f t="shared" si="12"/>
        <v>2413.6999999999998</v>
      </c>
      <c r="F47" s="78">
        <f t="shared" si="13"/>
        <v>3017.125</v>
      </c>
      <c r="G47" s="78">
        <f t="shared" si="14"/>
        <v>3620.5499999999997</v>
      </c>
      <c r="H47" s="64">
        <f t="shared" si="15"/>
        <v>13</v>
      </c>
      <c r="I47" s="6"/>
      <c r="J47" s="64">
        <v>13</v>
      </c>
      <c r="K47" s="79">
        <f t="shared" si="6"/>
        <v>288477</v>
      </c>
      <c r="L47" s="79">
        <f t="shared" si="7"/>
        <v>170126</v>
      </c>
      <c r="M47" s="79">
        <f t="shared" si="8"/>
        <v>66269</v>
      </c>
      <c r="N47" s="79">
        <f t="shared" si="9"/>
        <v>47824</v>
      </c>
      <c r="O47" s="77">
        <f t="shared" si="16"/>
        <v>572696</v>
      </c>
      <c r="P47" s="80">
        <f t="shared" si="17"/>
        <v>175245</v>
      </c>
      <c r="Q47" s="78">
        <f t="shared" si="18"/>
        <v>257713</v>
      </c>
      <c r="R47" s="78">
        <f t="shared" si="19"/>
        <v>130575</v>
      </c>
      <c r="S47" s="78">
        <f t="shared" si="20"/>
        <v>137447</v>
      </c>
      <c r="T47" s="80">
        <f t="shared" si="21"/>
        <v>525735</v>
      </c>
      <c r="U47" s="64">
        <v>13</v>
      </c>
      <c r="V47" s="84"/>
      <c r="W47" s="84"/>
      <c r="X47" s="12"/>
      <c r="Y47" s="64">
        <f t="shared" si="10"/>
        <v>13</v>
      </c>
      <c r="Z47" s="81">
        <f>+'[3]Tabla Homologada Enero-Nov.2013'!Q44</f>
        <v>47568</v>
      </c>
      <c r="AA47" s="82">
        <f t="shared" si="22"/>
        <v>142704</v>
      </c>
      <c r="AB47" s="83">
        <f t="shared" si="11"/>
        <v>570816</v>
      </c>
      <c r="AC47" s="7">
        <f>32+2</f>
        <v>34</v>
      </c>
      <c r="AD47" s="12"/>
      <c r="AI47" s="4"/>
    </row>
    <row r="48" spans="2:35" x14ac:dyDescent="0.2">
      <c r="B48" s="76">
        <v>14</v>
      </c>
      <c r="C48" s="77">
        <f>+O5</f>
        <v>267064</v>
      </c>
      <c r="D48" s="77">
        <f>+O7</f>
        <v>128510</v>
      </c>
      <c r="E48" s="11">
        <f t="shared" si="12"/>
        <v>2081.9684210526316</v>
      </c>
      <c r="F48" s="78">
        <f t="shared" si="13"/>
        <v>2602.4605263157896</v>
      </c>
      <c r="G48" s="78">
        <f t="shared" si="14"/>
        <v>3122.9526315789471</v>
      </c>
      <c r="H48" s="64">
        <f t="shared" si="15"/>
        <v>14</v>
      </c>
      <c r="I48" s="6"/>
      <c r="J48" s="64">
        <v>14</v>
      </c>
      <c r="K48" s="79">
        <f t="shared" si="6"/>
        <v>267064</v>
      </c>
      <c r="L48" s="79">
        <f t="shared" si="7"/>
        <v>128510</v>
      </c>
      <c r="M48" s="79">
        <f t="shared" si="8"/>
        <v>65740</v>
      </c>
      <c r="N48" s="79">
        <f t="shared" si="9"/>
        <v>47824</v>
      </c>
      <c r="O48" s="77">
        <f t="shared" si="16"/>
        <v>509138</v>
      </c>
      <c r="P48" s="80">
        <f t="shared" si="17"/>
        <v>155796</v>
      </c>
      <c r="Q48" s="78">
        <f t="shared" si="18"/>
        <v>229112</v>
      </c>
      <c r="R48" s="78">
        <f t="shared" si="19"/>
        <v>116083</v>
      </c>
      <c r="S48" s="78">
        <f t="shared" si="20"/>
        <v>122193</v>
      </c>
      <c r="T48" s="80">
        <f t="shared" si="21"/>
        <v>467388</v>
      </c>
      <c r="U48" s="64">
        <v>14</v>
      </c>
      <c r="V48" s="21"/>
      <c r="W48" s="21"/>
      <c r="X48" s="21"/>
      <c r="Y48" s="64">
        <f t="shared" si="10"/>
        <v>14</v>
      </c>
      <c r="Z48" s="81">
        <f>+'[3]Tabla Homologada Enero-Nov.2013'!Q45</f>
        <v>42223</v>
      </c>
      <c r="AA48" s="82">
        <f t="shared" si="22"/>
        <v>126669</v>
      </c>
      <c r="AB48" s="83">
        <f t="shared" si="11"/>
        <v>506676</v>
      </c>
      <c r="AC48" s="7">
        <f>76+8</f>
        <v>84</v>
      </c>
      <c r="AD48" s="12"/>
      <c r="AI48" s="4"/>
    </row>
    <row r="49" spans="2:35" x14ac:dyDescent="0.2">
      <c r="B49" s="76">
        <v>15</v>
      </c>
      <c r="C49" s="77">
        <f>+P5</f>
        <v>247299</v>
      </c>
      <c r="D49" s="77">
        <f>+P7</f>
        <v>103221</v>
      </c>
      <c r="E49" s="11">
        <f t="shared" si="12"/>
        <v>1844.8421052631579</v>
      </c>
      <c r="F49" s="78">
        <f t="shared" si="13"/>
        <v>2306.0526315789475</v>
      </c>
      <c r="G49" s="78">
        <f t="shared" si="14"/>
        <v>2767.2631578947367</v>
      </c>
      <c r="H49" s="64">
        <f t="shared" si="15"/>
        <v>15</v>
      </c>
      <c r="J49" s="64">
        <v>15</v>
      </c>
      <c r="K49" s="79">
        <f t="shared" si="6"/>
        <v>247299</v>
      </c>
      <c r="L49" s="79">
        <f t="shared" si="7"/>
        <v>103221</v>
      </c>
      <c r="M49" s="79">
        <f t="shared" si="8"/>
        <v>56612</v>
      </c>
      <c r="N49" s="79">
        <f t="shared" si="9"/>
        <v>47824</v>
      </c>
      <c r="O49" s="77">
        <f t="shared" si="16"/>
        <v>454956</v>
      </c>
      <c r="P49" s="80">
        <f t="shared" si="17"/>
        <v>139217</v>
      </c>
      <c r="Q49" s="78">
        <f t="shared" si="18"/>
        <v>204730</v>
      </c>
      <c r="R49" s="78">
        <f t="shared" si="19"/>
        <v>103730</v>
      </c>
      <c r="S49" s="78">
        <f t="shared" si="20"/>
        <v>109189</v>
      </c>
      <c r="T49" s="80">
        <f t="shared" si="21"/>
        <v>417649</v>
      </c>
      <c r="U49" s="64">
        <v>15</v>
      </c>
      <c r="V49" s="84"/>
      <c r="W49" s="84"/>
      <c r="X49" s="12"/>
      <c r="Y49" s="64">
        <f t="shared" si="10"/>
        <v>15</v>
      </c>
      <c r="Z49" s="81">
        <f>+'[3]Tabla Homologada Enero-Nov.2013'!Q46</f>
        <v>37679</v>
      </c>
      <c r="AA49" s="82">
        <f t="shared" si="22"/>
        <v>113037</v>
      </c>
      <c r="AB49" s="83">
        <f t="shared" si="11"/>
        <v>452148</v>
      </c>
      <c r="AC49" s="7">
        <v>53</v>
      </c>
      <c r="AD49" s="12"/>
      <c r="AI49" s="4"/>
    </row>
    <row r="50" spans="2:35" x14ac:dyDescent="0.2">
      <c r="B50" s="76">
        <v>16</v>
      </c>
      <c r="C50" s="77">
        <f>+Q5</f>
        <v>228937</v>
      </c>
      <c r="D50" s="77">
        <f>+Q7</f>
        <v>101375</v>
      </c>
      <c r="E50" s="11">
        <f t="shared" si="12"/>
        <v>1738.4842105263158</v>
      </c>
      <c r="F50" s="78">
        <f t="shared" si="13"/>
        <v>2173.1052631578946</v>
      </c>
      <c r="G50" s="78">
        <f t="shared" si="14"/>
        <v>2607.7263157894736</v>
      </c>
      <c r="H50" s="64">
        <f t="shared" si="15"/>
        <v>16</v>
      </c>
      <c r="I50" s="6"/>
      <c r="J50" s="64">
        <v>16</v>
      </c>
      <c r="K50" s="79">
        <f t="shared" si="6"/>
        <v>228937</v>
      </c>
      <c r="L50" s="79">
        <f t="shared" si="7"/>
        <v>101375</v>
      </c>
      <c r="M50" s="79">
        <f t="shared" si="8"/>
        <v>59645</v>
      </c>
      <c r="N50" s="79">
        <f t="shared" si="9"/>
        <v>47824</v>
      </c>
      <c r="O50" s="77">
        <f t="shared" si="16"/>
        <v>437781</v>
      </c>
      <c r="P50" s="80">
        <f t="shared" si="17"/>
        <v>133961</v>
      </c>
      <c r="Q50" s="78">
        <f t="shared" si="18"/>
        <v>197001</v>
      </c>
      <c r="R50" s="78">
        <f t="shared" si="19"/>
        <v>99814</v>
      </c>
      <c r="S50" s="78">
        <f t="shared" si="20"/>
        <v>105067</v>
      </c>
      <c r="T50" s="80">
        <f t="shared" si="21"/>
        <v>401882</v>
      </c>
      <c r="U50" s="64">
        <v>16</v>
      </c>
      <c r="V50" s="21"/>
      <c r="W50" s="21"/>
      <c r="X50" s="21"/>
      <c r="Y50" s="64">
        <f t="shared" si="10"/>
        <v>16</v>
      </c>
      <c r="Z50" s="81">
        <f>+'[3]Tabla Homologada Enero-Nov.2013'!Q47</f>
        <v>36285</v>
      </c>
      <c r="AA50" s="82">
        <f t="shared" si="22"/>
        <v>108855</v>
      </c>
      <c r="AB50" s="83">
        <f t="shared" si="11"/>
        <v>435420</v>
      </c>
      <c r="AC50" s="7">
        <f>44+15</f>
        <v>59</v>
      </c>
      <c r="AD50" s="12"/>
      <c r="AI50" s="4"/>
    </row>
    <row r="51" spans="2:35" x14ac:dyDescent="0.2">
      <c r="B51" s="76">
        <v>17</v>
      </c>
      <c r="C51" s="77">
        <f>+R5</f>
        <v>211986</v>
      </c>
      <c r="D51" s="77">
        <f>+R7</f>
        <v>78380</v>
      </c>
      <c r="E51" s="11">
        <f t="shared" si="12"/>
        <v>1528.2421052631578</v>
      </c>
      <c r="F51" s="78">
        <f t="shared" si="13"/>
        <v>1910.3026315789473</v>
      </c>
      <c r="G51" s="78">
        <f>+E51*1.5</f>
        <v>2292.3631578947366</v>
      </c>
      <c r="H51" s="64">
        <f t="shared" si="15"/>
        <v>17</v>
      </c>
      <c r="I51" s="6"/>
      <c r="J51" s="64">
        <v>17</v>
      </c>
      <c r="K51" s="79">
        <f t="shared" si="6"/>
        <v>211986</v>
      </c>
      <c r="L51" s="79">
        <f t="shared" si="7"/>
        <v>78380</v>
      </c>
      <c r="M51" s="79">
        <f t="shared" si="8"/>
        <v>55489</v>
      </c>
      <c r="N51" s="79">
        <f t="shared" si="9"/>
        <v>47824</v>
      </c>
      <c r="O51" s="77">
        <f t="shared" si="16"/>
        <v>393679</v>
      </c>
      <c r="P51" s="80">
        <f t="shared" si="17"/>
        <v>120466</v>
      </c>
      <c r="Q51" s="78">
        <f t="shared" si="18"/>
        <v>177156</v>
      </c>
      <c r="R51" s="78">
        <f t="shared" si="19"/>
        <v>89759</v>
      </c>
      <c r="S51" s="78">
        <f t="shared" si="20"/>
        <v>94483</v>
      </c>
      <c r="T51" s="80">
        <f t="shared" si="21"/>
        <v>361398</v>
      </c>
      <c r="U51" s="64">
        <v>17</v>
      </c>
      <c r="V51" s="84"/>
      <c r="W51" s="84"/>
      <c r="X51" s="12"/>
      <c r="Y51" s="64">
        <f t="shared" si="10"/>
        <v>17</v>
      </c>
      <c r="Z51" s="81">
        <f>+'[3]Tabla Homologada Enero-Nov.2013'!Q48</f>
        <v>32601</v>
      </c>
      <c r="AA51" s="82">
        <f t="shared" si="22"/>
        <v>97803</v>
      </c>
      <c r="AB51" s="83">
        <f t="shared" si="11"/>
        <v>391212</v>
      </c>
      <c r="AC51" s="7">
        <f>5+1</f>
        <v>6</v>
      </c>
      <c r="AD51" s="12"/>
      <c r="AI51" s="4"/>
    </row>
    <row r="52" spans="2:35" x14ac:dyDescent="0.2">
      <c r="B52" s="76">
        <v>18</v>
      </c>
      <c r="C52" s="77">
        <f>+S5</f>
        <v>196289</v>
      </c>
      <c r="D52" s="77">
        <f>+S7</f>
        <v>75906</v>
      </c>
      <c r="E52" s="11">
        <f t="shared" si="12"/>
        <v>1432.6052631578948</v>
      </c>
      <c r="F52" s="78">
        <f t="shared" si="13"/>
        <v>1790.7565789473686</v>
      </c>
      <c r="G52" s="78">
        <f t="shared" si="14"/>
        <v>2148.9078947368421</v>
      </c>
      <c r="H52" s="64">
        <f t="shared" si="15"/>
        <v>18</v>
      </c>
      <c r="J52" s="64">
        <v>18</v>
      </c>
      <c r="K52" s="79">
        <f t="shared" si="6"/>
        <v>196289</v>
      </c>
      <c r="L52" s="79">
        <f t="shared" si="7"/>
        <v>75906</v>
      </c>
      <c r="M52" s="79">
        <f t="shared" si="8"/>
        <v>55489</v>
      </c>
      <c r="N52" s="79">
        <f t="shared" si="9"/>
        <v>47824</v>
      </c>
      <c r="O52" s="77">
        <f t="shared" si="16"/>
        <v>375508</v>
      </c>
      <c r="P52" s="80">
        <f t="shared" si="17"/>
        <v>114905</v>
      </c>
      <c r="Q52" s="78">
        <f t="shared" si="18"/>
        <v>168979</v>
      </c>
      <c r="R52" s="78">
        <f t="shared" si="19"/>
        <v>85616</v>
      </c>
      <c r="S52" s="78">
        <f t="shared" si="20"/>
        <v>90122</v>
      </c>
      <c r="T52" s="80">
        <f t="shared" si="21"/>
        <v>344717</v>
      </c>
      <c r="U52" s="64">
        <v>18</v>
      </c>
      <c r="V52" s="84"/>
      <c r="W52" s="84"/>
      <c r="X52" s="12"/>
      <c r="Y52" s="64">
        <f t="shared" si="10"/>
        <v>18</v>
      </c>
      <c r="Z52" s="81">
        <f>+'[3]Tabla Homologada Enero-Nov.2013'!Q49</f>
        <v>31134</v>
      </c>
      <c r="AA52" s="82">
        <f t="shared" si="22"/>
        <v>93402</v>
      </c>
      <c r="AB52" s="83">
        <f t="shared" si="11"/>
        <v>373608</v>
      </c>
      <c r="AC52" s="7"/>
      <c r="AD52" s="12"/>
      <c r="AI52" s="4"/>
    </row>
    <row r="53" spans="2:35" x14ac:dyDescent="0.2">
      <c r="B53" s="76">
        <v>19</v>
      </c>
      <c r="C53" s="77">
        <f>+T5</f>
        <v>183452</v>
      </c>
      <c r="D53" s="77">
        <f>+T7</f>
        <v>83020</v>
      </c>
      <c r="E53" s="11">
        <f t="shared" si="12"/>
        <v>1402.4842105263158</v>
      </c>
      <c r="F53" s="78">
        <f>+E53*1.25</f>
        <v>1753.1052631578948</v>
      </c>
      <c r="G53" s="78">
        <f t="shared" si="14"/>
        <v>2103.7263157894736</v>
      </c>
      <c r="H53" s="64">
        <f t="shared" si="15"/>
        <v>19</v>
      </c>
      <c r="I53" s="6"/>
      <c r="J53" s="64">
        <v>19</v>
      </c>
      <c r="K53" s="79">
        <f t="shared" si="6"/>
        <v>183452</v>
      </c>
      <c r="L53" s="79">
        <f t="shared" si="7"/>
        <v>83020</v>
      </c>
      <c r="M53" s="79">
        <f t="shared" si="8"/>
        <v>57837</v>
      </c>
      <c r="N53" s="79">
        <f t="shared" si="9"/>
        <v>47824</v>
      </c>
      <c r="O53" s="77">
        <f t="shared" si="16"/>
        <v>372133</v>
      </c>
      <c r="P53" s="80">
        <f t="shared" si="17"/>
        <v>113873</v>
      </c>
      <c r="Q53" s="78">
        <f t="shared" si="18"/>
        <v>167460</v>
      </c>
      <c r="R53" s="78">
        <f t="shared" si="19"/>
        <v>84846</v>
      </c>
      <c r="S53" s="78">
        <f t="shared" si="20"/>
        <v>89312</v>
      </c>
      <c r="T53" s="80">
        <f t="shared" si="21"/>
        <v>341618</v>
      </c>
      <c r="U53" s="64">
        <v>19</v>
      </c>
      <c r="V53" s="21"/>
      <c r="W53" s="21"/>
      <c r="Y53" s="64">
        <f t="shared" si="10"/>
        <v>19</v>
      </c>
      <c r="Z53" s="81">
        <f>+'[3]Tabla Homologada Enero-Nov.2013'!Q50</f>
        <v>30909</v>
      </c>
      <c r="AA53" s="82">
        <f t="shared" si="22"/>
        <v>92727</v>
      </c>
      <c r="AB53" s="83">
        <f t="shared" si="11"/>
        <v>370908</v>
      </c>
      <c r="AC53" s="7"/>
      <c r="AD53" s="12"/>
      <c r="AI53" s="4"/>
    </row>
    <row r="54" spans="2:35" x14ac:dyDescent="0.2">
      <c r="B54" s="64">
        <v>20</v>
      </c>
      <c r="C54" s="77">
        <f>+U5</f>
        <v>171458</v>
      </c>
      <c r="D54" s="77">
        <f>+U7</f>
        <v>65396</v>
      </c>
      <c r="E54" s="11">
        <f t="shared" si="12"/>
        <v>1246.5999999999999</v>
      </c>
      <c r="F54" s="78">
        <f>+E54*1.25</f>
        <v>1558.25</v>
      </c>
      <c r="G54" s="78">
        <f t="shared" si="14"/>
        <v>1869.8999999999999</v>
      </c>
      <c r="H54" s="64">
        <f t="shared" si="15"/>
        <v>20</v>
      </c>
      <c r="J54" s="64">
        <v>20</v>
      </c>
      <c r="K54" s="79">
        <f t="shared" si="6"/>
        <v>171458</v>
      </c>
      <c r="L54" s="79">
        <f t="shared" si="7"/>
        <v>65396</v>
      </c>
      <c r="M54" s="79">
        <f t="shared" si="8"/>
        <v>55566</v>
      </c>
      <c r="N54" s="79">
        <f t="shared" si="9"/>
        <v>47824</v>
      </c>
      <c r="O54" s="77">
        <f>SUM(K54+L54+M54+N54)</f>
        <v>340244</v>
      </c>
      <c r="P54" s="80">
        <f t="shared" si="17"/>
        <v>104115</v>
      </c>
      <c r="Q54" s="78">
        <f t="shared" si="18"/>
        <v>153110</v>
      </c>
      <c r="R54" s="78">
        <f t="shared" si="19"/>
        <v>77576</v>
      </c>
      <c r="S54" s="78">
        <f t="shared" si="20"/>
        <v>81659</v>
      </c>
      <c r="T54" s="80">
        <f t="shared" si="21"/>
        <v>312345</v>
      </c>
      <c r="U54" s="64">
        <v>20</v>
      </c>
      <c r="V54" s="21"/>
      <c r="W54" s="21"/>
      <c r="Y54" s="60"/>
      <c r="Z54" s="86"/>
      <c r="AA54" s="82">
        <f t="shared" si="22"/>
        <v>0</v>
      </c>
      <c r="AB54" s="79">
        <f>Z54*12</f>
        <v>0</v>
      </c>
      <c r="AC54" s="7"/>
      <c r="AI54" s="4"/>
    </row>
    <row r="55" spans="2:35" x14ac:dyDescent="0.2">
      <c r="K55" s="5"/>
      <c r="L55" s="4"/>
      <c r="AI55" s="4"/>
    </row>
    <row r="56" spans="2:35" ht="12" thickBot="1" x14ac:dyDescent="0.25">
      <c r="I56" s="6"/>
      <c r="V56" s="12"/>
      <c r="W56" s="12"/>
      <c r="AG56" s="12"/>
      <c r="AH56" s="12"/>
    </row>
    <row r="57" spans="2:35" ht="12" thickBot="1" x14ac:dyDescent="0.25">
      <c r="F57" s="12"/>
      <c r="M57" s="87"/>
      <c r="N57" s="88"/>
      <c r="O57" s="88"/>
      <c r="P57" s="88"/>
      <c r="Q57" s="88"/>
      <c r="R57" s="88"/>
      <c r="S57" s="88"/>
      <c r="T57" s="89"/>
    </row>
    <row r="58" spans="2:35" ht="12" thickBot="1" x14ac:dyDescent="0.25">
      <c r="F58" s="12"/>
      <c r="G58" s="12"/>
      <c r="H58" s="12"/>
      <c r="I58" s="12"/>
      <c r="M58" s="90"/>
      <c r="N58" s="87"/>
      <c r="O58" s="88"/>
      <c r="P58" s="91"/>
      <c r="Q58" s="92">
        <v>0.5</v>
      </c>
      <c r="R58" s="93">
        <v>0.25</v>
      </c>
      <c r="S58" s="94">
        <v>0.25</v>
      </c>
      <c r="T58" s="95"/>
    </row>
    <row r="59" spans="2:35" ht="12" thickBot="1" x14ac:dyDescent="0.25">
      <c r="F59" s="12"/>
      <c r="G59" s="12"/>
      <c r="H59" s="12"/>
      <c r="I59" s="12"/>
      <c r="M59" s="90"/>
      <c r="N59" s="96"/>
      <c r="O59" s="97"/>
      <c r="P59" s="98">
        <v>2013</v>
      </c>
      <c r="Q59" s="99">
        <v>2014</v>
      </c>
      <c r="R59" s="100">
        <v>2015</v>
      </c>
      <c r="S59" s="101">
        <v>2016</v>
      </c>
      <c r="T59" s="102"/>
    </row>
    <row r="60" spans="2:35" x14ac:dyDescent="0.2">
      <c r="F60" s="12"/>
      <c r="G60" s="12"/>
      <c r="H60" s="12"/>
      <c r="I60" s="12"/>
      <c r="M60" s="90"/>
      <c r="N60" s="103" t="s">
        <v>34</v>
      </c>
      <c r="O60" s="97"/>
      <c r="P60" s="104">
        <v>0</v>
      </c>
      <c r="Q60" s="105">
        <v>0.1</v>
      </c>
      <c r="R60" s="106">
        <v>0.125</v>
      </c>
      <c r="S60" s="107">
        <v>0.15</v>
      </c>
      <c r="T60" s="102"/>
      <c r="V60" s="108"/>
    </row>
    <row r="61" spans="2:35" x14ac:dyDescent="0.2">
      <c r="F61" s="12"/>
      <c r="G61" s="12"/>
      <c r="H61" s="12"/>
      <c r="I61" s="12"/>
      <c r="M61" s="90"/>
      <c r="N61" s="103" t="s">
        <v>35</v>
      </c>
      <c r="O61" s="97"/>
      <c r="P61" s="104">
        <v>6</v>
      </c>
      <c r="Q61" s="105">
        <v>0.06</v>
      </c>
      <c r="R61" s="106">
        <v>6.8000000000000005E-2</v>
      </c>
      <c r="S61" s="107">
        <v>7.5999999999999998E-2</v>
      </c>
      <c r="T61" s="102"/>
      <c r="V61" s="108"/>
    </row>
    <row r="62" spans="2:35" ht="12" thickBot="1" x14ac:dyDescent="0.25">
      <c r="E62" s="6"/>
      <c r="F62" s="12"/>
      <c r="G62" s="12"/>
      <c r="H62" s="12"/>
      <c r="I62" s="12"/>
      <c r="L62" s="298"/>
      <c r="M62" s="90"/>
      <c r="N62" s="103" t="s">
        <v>36</v>
      </c>
      <c r="O62" s="97"/>
      <c r="P62" s="104">
        <v>4</v>
      </c>
      <c r="Q62" s="105">
        <v>0.04</v>
      </c>
      <c r="R62" s="106">
        <v>0.06</v>
      </c>
      <c r="S62" s="107">
        <v>0.08</v>
      </c>
      <c r="T62" s="102"/>
      <c r="V62" s="108"/>
    </row>
    <row r="63" spans="2:35" ht="12" thickBot="1" x14ac:dyDescent="0.25">
      <c r="D63" s="6"/>
      <c r="E63" s="6"/>
      <c r="F63" s="12"/>
      <c r="G63" s="12"/>
      <c r="H63" s="12"/>
      <c r="I63" s="12"/>
      <c r="L63" s="298"/>
      <c r="M63" s="90"/>
      <c r="N63" s="109" t="s">
        <v>37</v>
      </c>
      <c r="O63" s="110"/>
      <c r="P63" s="98">
        <f>SUM(P60:P62)</f>
        <v>10</v>
      </c>
      <c r="Q63" s="111">
        <f>SUM(Q60:Q62)</f>
        <v>0.2</v>
      </c>
      <c r="R63" s="112">
        <f>SUM(R60:R62)</f>
        <v>0.253</v>
      </c>
      <c r="S63" s="113">
        <f>SUM(S60:S62)</f>
        <v>0.30599999999999999</v>
      </c>
      <c r="T63" s="102"/>
      <c r="V63" s="108"/>
    </row>
    <row r="64" spans="2:35" ht="12" thickBot="1" x14ac:dyDescent="0.25">
      <c r="E64" s="6"/>
      <c r="F64" s="12"/>
      <c r="G64" s="12"/>
      <c r="H64" s="12"/>
      <c r="I64" s="12"/>
      <c r="L64" s="21"/>
      <c r="M64" s="90"/>
      <c r="N64" s="114"/>
      <c r="O64" s="115"/>
      <c r="P64" s="116" t="s">
        <v>38</v>
      </c>
      <c r="Q64" s="116">
        <v>10</v>
      </c>
      <c r="R64" s="116">
        <v>5.3</v>
      </c>
      <c r="S64" s="117">
        <v>5.3</v>
      </c>
      <c r="T64" s="118"/>
    </row>
    <row r="65" spans="2:38" ht="12" thickBot="1" x14ac:dyDescent="0.25">
      <c r="I65" s="12"/>
      <c r="L65" s="21"/>
      <c r="M65" s="114"/>
      <c r="N65" s="115"/>
      <c r="O65" s="115"/>
      <c r="P65" s="115"/>
      <c r="Q65" s="115"/>
      <c r="R65" s="115"/>
      <c r="S65" s="115"/>
      <c r="T65" s="119"/>
      <c r="AC65" s="120"/>
      <c r="AD65" s="120"/>
      <c r="AI65" s="4"/>
    </row>
    <row r="66" spans="2:38" x14ac:dyDescent="0.2">
      <c r="L66" s="21"/>
      <c r="AA66" s="121"/>
      <c r="AB66" s="108"/>
      <c r="AC66" s="108"/>
      <c r="AD66" s="108"/>
      <c r="AI66" s="4"/>
    </row>
    <row r="68" spans="2:38" x14ac:dyDescent="0.2">
      <c r="L68" s="4"/>
      <c r="O68" s="5"/>
      <c r="AI68" s="4"/>
      <c r="AL68" s="7"/>
    </row>
    <row r="69" spans="2:38" ht="14.25" customHeight="1" x14ac:dyDescent="0.2">
      <c r="B69" s="299" t="s">
        <v>15</v>
      </c>
      <c r="C69" s="296" t="str">
        <f>+A5</f>
        <v>SUELDO BASE</v>
      </c>
      <c r="D69" s="296" t="str">
        <f>+A7</f>
        <v>ASIG MUNICIPAL</v>
      </c>
      <c r="E69" s="296" t="s">
        <v>39</v>
      </c>
      <c r="F69" s="296" t="str">
        <f>+A8</f>
        <v xml:space="preserve">ASIG.ZONA </v>
      </c>
      <c r="G69" s="296" t="str">
        <f>+A9</f>
        <v>ART. 10 LEY 18675</v>
      </c>
      <c r="H69" s="296" t="str">
        <f>+A10</f>
        <v>Asig Unica Ley 18,717</v>
      </c>
      <c r="I69" s="296" t="str">
        <f>+A11</f>
        <v>Bonif.Salud Ley 18,566</v>
      </c>
      <c r="J69" s="296" t="str">
        <f>+A12</f>
        <v>LEY 19529</v>
      </c>
      <c r="K69" s="296" t="s">
        <v>40</v>
      </c>
      <c r="L69" s="289" t="s">
        <v>41</v>
      </c>
      <c r="M69" s="291" t="s">
        <v>42</v>
      </c>
      <c r="N69" s="289" t="s">
        <v>43</v>
      </c>
      <c r="O69" s="291" t="s">
        <v>44</v>
      </c>
      <c r="P69" s="289" t="s">
        <v>45</v>
      </c>
      <c r="Q69" s="291" t="s">
        <v>46</v>
      </c>
      <c r="AI69" s="4"/>
      <c r="AL69" s="7"/>
    </row>
    <row r="70" spans="2:38" ht="11.25" customHeight="1" x14ac:dyDescent="0.2">
      <c r="B70" s="299"/>
      <c r="C70" s="297"/>
      <c r="D70" s="297"/>
      <c r="E70" s="297"/>
      <c r="F70" s="297"/>
      <c r="G70" s="297"/>
      <c r="H70" s="297"/>
      <c r="I70" s="297"/>
      <c r="J70" s="297"/>
      <c r="K70" s="297"/>
      <c r="L70" s="290"/>
      <c r="M70" s="292"/>
      <c r="N70" s="290"/>
      <c r="O70" s="292"/>
      <c r="P70" s="290"/>
      <c r="Q70" s="292"/>
      <c r="AI70" s="4"/>
      <c r="AL70" s="7"/>
    </row>
    <row r="71" spans="2:38" x14ac:dyDescent="0.2">
      <c r="B71" s="76">
        <v>3</v>
      </c>
      <c r="C71" s="122">
        <f>HLOOKUP($B71,Escala2014,3,0)</f>
        <v>591559</v>
      </c>
      <c r="D71" s="122">
        <f t="shared" ref="D71:D88" si="23">HLOOKUP($B71,Escala2014,5,0)</f>
        <v>1739343</v>
      </c>
      <c r="E71" s="122"/>
      <c r="F71" s="77">
        <f t="shared" ref="F71:F88" si="24">HLOOKUP($B71,Escala2014,6,0)</f>
        <v>165637</v>
      </c>
      <c r="G71" s="77">
        <f t="shared" ref="G71:G88" si="25">HLOOKUP($B71,Escala2014,7,0)</f>
        <v>203254</v>
      </c>
      <c r="H71" s="77">
        <f t="shared" ref="H71:H88" si="26">HLOOKUP($B71,Escala2014,8,0)</f>
        <v>18351</v>
      </c>
      <c r="I71" s="77">
        <f t="shared" ref="I71:I88" si="27">HLOOKUP($B71,Escala2014,9,0)</f>
        <v>92466</v>
      </c>
      <c r="J71" s="77">
        <f t="shared" ref="J71:J88" si="28">HLOOKUP($B71,Escala2014,10,0)</f>
        <v>25172</v>
      </c>
      <c r="K71" s="77">
        <f t="shared" ref="K71:K88" si="29">C71*0.02*L71</f>
        <v>35493.54</v>
      </c>
      <c r="L71" s="123">
        <v>3</v>
      </c>
      <c r="M71" s="124">
        <f t="shared" ref="M71:M88" si="30">ROUND(SUM(C71:K71)/190,0)</f>
        <v>15112</v>
      </c>
      <c r="N71" s="125">
        <v>1</v>
      </c>
      <c r="O71" s="124">
        <f>+M71*N71</f>
        <v>15112</v>
      </c>
      <c r="P71" s="125">
        <v>2</v>
      </c>
      <c r="Q71" s="124">
        <f t="shared" ref="Q71:Q88" si="31">SUM(C71:K71)/30*P71</f>
        <v>191418.36933333334</v>
      </c>
      <c r="R71" s="12"/>
      <c r="AI71" s="4"/>
      <c r="AL71" s="7"/>
    </row>
    <row r="72" spans="2:38" x14ac:dyDescent="0.2">
      <c r="B72" s="76">
        <v>4</v>
      </c>
      <c r="C72" s="122">
        <f t="shared" ref="C72:C88" si="32">HLOOKUP(B72,Escala2014,3,0)</f>
        <v>558089</v>
      </c>
      <c r="D72" s="122">
        <f t="shared" si="23"/>
        <v>1687542</v>
      </c>
      <c r="E72" s="122"/>
      <c r="F72" s="77">
        <f t="shared" si="24"/>
        <v>156266</v>
      </c>
      <c r="G72" s="77">
        <f t="shared" si="25"/>
        <v>207982</v>
      </c>
      <c r="H72" s="77">
        <f t="shared" si="26"/>
        <v>18351</v>
      </c>
      <c r="I72" s="77">
        <f t="shared" si="27"/>
        <v>94908</v>
      </c>
      <c r="J72" s="77">
        <f t="shared" si="28"/>
        <v>25172</v>
      </c>
      <c r="K72" s="77">
        <f t="shared" si="29"/>
        <v>11161.78</v>
      </c>
      <c r="L72" s="123">
        <v>1</v>
      </c>
      <c r="M72" s="124">
        <f t="shared" si="30"/>
        <v>14524</v>
      </c>
      <c r="N72" s="125">
        <v>1</v>
      </c>
      <c r="O72" s="124">
        <f t="shared" ref="O72:O88" si="33">+M72*N72</f>
        <v>14524</v>
      </c>
      <c r="P72" s="125">
        <v>2</v>
      </c>
      <c r="Q72" s="124">
        <f t="shared" si="31"/>
        <v>183964.78533333333</v>
      </c>
      <c r="AI72" s="4"/>
      <c r="AL72" s="7"/>
    </row>
    <row r="73" spans="2:38" x14ac:dyDescent="0.2">
      <c r="B73" s="76">
        <v>5</v>
      </c>
      <c r="C73" s="122">
        <f t="shared" si="32"/>
        <v>526519</v>
      </c>
      <c r="D73" s="122">
        <f t="shared" si="23"/>
        <v>1450403</v>
      </c>
      <c r="E73" s="122"/>
      <c r="F73" s="77">
        <f t="shared" si="24"/>
        <v>147425</v>
      </c>
      <c r="G73" s="77">
        <f t="shared" si="25"/>
        <v>212729</v>
      </c>
      <c r="H73" s="77">
        <f t="shared" si="26"/>
        <v>18351</v>
      </c>
      <c r="I73" s="77">
        <f t="shared" si="27"/>
        <v>97391</v>
      </c>
      <c r="J73" s="77">
        <f t="shared" si="28"/>
        <v>25172</v>
      </c>
      <c r="K73" s="77">
        <f t="shared" si="29"/>
        <v>10530.380000000001</v>
      </c>
      <c r="L73" s="123">
        <v>1</v>
      </c>
      <c r="M73" s="124">
        <f t="shared" si="30"/>
        <v>13097</v>
      </c>
      <c r="N73" s="125">
        <v>1</v>
      </c>
      <c r="O73" s="124">
        <f t="shared" si="33"/>
        <v>13097</v>
      </c>
      <c r="P73" s="125">
        <v>2</v>
      </c>
      <c r="Q73" s="124">
        <f t="shared" si="31"/>
        <v>165901.35866666667</v>
      </c>
      <c r="AI73" s="4"/>
      <c r="AL73" s="7"/>
    </row>
    <row r="74" spans="2:38" x14ac:dyDescent="0.2">
      <c r="B74" s="76">
        <v>6</v>
      </c>
      <c r="C74" s="122">
        <f t="shared" si="32"/>
        <v>496677</v>
      </c>
      <c r="D74" s="122">
        <f t="shared" si="23"/>
        <v>1225702</v>
      </c>
      <c r="E74" s="122"/>
      <c r="F74" s="77">
        <f t="shared" si="24"/>
        <v>139069</v>
      </c>
      <c r="G74" s="77">
        <f t="shared" si="25"/>
        <v>237781</v>
      </c>
      <c r="H74" s="77">
        <f t="shared" si="26"/>
        <v>18351</v>
      </c>
      <c r="I74" s="77">
        <f t="shared" si="27"/>
        <v>90613</v>
      </c>
      <c r="J74" s="77">
        <f t="shared" si="28"/>
        <v>28947</v>
      </c>
      <c r="K74" s="77">
        <f t="shared" si="29"/>
        <v>9933.5400000000009</v>
      </c>
      <c r="L74" s="123">
        <v>1</v>
      </c>
      <c r="M74" s="124">
        <f t="shared" si="30"/>
        <v>11827</v>
      </c>
      <c r="N74" s="125">
        <v>1</v>
      </c>
      <c r="O74" s="124">
        <f t="shared" si="33"/>
        <v>11827</v>
      </c>
      <c r="P74" s="125">
        <v>2</v>
      </c>
      <c r="Q74" s="124">
        <f t="shared" si="31"/>
        <v>149804.90266666666</v>
      </c>
      <c r="AI74" s="4"/>
      <c r="AL74" s="7"/>
    </row>
    <row r="75" spans="2:38" x14ac:dyDescent="0.2">
      <c r="B75" s="76">
        <v>7</v>
      </c>
      <c r="C75" s="122">
        <f t="shared" si="32"/>
        <v>457814</v>
      </c>
      <c r="D75" s="122">
        <f t="shared" si="23"/>
        <v>919186</v>
      </c>
      <c r="E75" s="122"/>
      <c r="F75" s="77">
        <f t="shared" si="24"/>
        <v>128188</v>
      </c>
      <c r="G75" s="77">
        <f t="shared" si="25"/>
        <v>163967</v>
      </c>
      <c r="H75" s="77">
        <f t="shared" si="26"/>
        <v>18351</v>
      </c>
      <c r="I75" s="77">
        <f t="shared" si="27"/>
        <v>67579</v>
      </c>
      <c r="J75" s="77">
        <f t="shared" si="28"/>
        <v>28947</v>
      </c>
      <c r="K75" s="77">
        <f t="shared" si="29"/>
        <v>18312.560000000001</v>
      </c>
      <c r="L75" s="123">
        <v>2</v>
      </c>
      <c r="M75" s="124">
        <f t="shared" si="30"/>
        <v>9486</v>
      </c>
      <c r="N75" s="125">
        <v>3</v>
      </c>
      <c r="O75" s="124">
        <f t="shared" si="33"/>
        <v>28458</v>
      </c>
      <c r="P75" s="125">
        <v>0</v>
      </c>
      <c r="Q75" s="124">
        <f t="shared" si="31"/>
        <v>0</v>
      </c>
      <c r="AI75" s="4"/>
      <c r="AL75" s="7"/>
    </row>
    <row r="76" spans="2:38" x14ac:dyDescent="0.2">
      <c r="B76" s="76">
        <v>8</v>
      </c>
      <c r="C76" s="122">
        <f t="shared" si="32"/>
        <v>423865</v>
      </c>
      <c r="D76" s="122">
        <f t="shared" si="23"/>
        <v>705744</v>
      </c>
      <c r="E76" s="122"/>
      <c r="F76" s="77">
        <f t="shared" si="24"/>
        <v>118682</v>
      </c>
      <c r="G76" s="77">
        <f t="shared" si="25"/>
        <v>125066</v>
      </c>
      <c r="H76" s="77">
        <f t="shared" si="26"/>
        <v>18351</v>
      </c>
      <c r="I76" s="77">
        <f t="shared" si="27"/>
        <v>51562</v>
      </c>
      <c r="J76" s="77">
        <f t="shared" si="28"/>
        <v>28947</v>
      </c>
      <c r="K76" s="77">
        <f t="shared" si="29"/>
        <v>0</v>
      </c>
      <c r="L76" s="123">
        <v>0</v>
      </c>
      <c r="M76" s="124">
        <f t="shared" si="30"/>
        <v>7749</v>
      </c>
      <c r="N76" s="125">
        <v>5</v>
      </c>
      <c r="O76" s="124">
        <f t="shared" si="33"/>
        <v>38745</v>
      </c>
      <c r="P76" s="125">
        <v>2</v>
      </c>
      <c r="Q76" s="124">
        <f t="shared" si="31"/>
        <v>98147.8</v>
      </c>
      <c r="AI76" s="4"/>
      <c r="AL76" s="7"/>
    </row>
    <row r="77" spans="2:38" x14ac:dyDescent="0.2">
      <c r="B77" s="76">
        <v>9</v>
      </c>
      <c r="C77" s="122">
        <f t="shared" si="32"/>
        <v>392429</v>
      </c>
      <c r="D77" s="122">
        <f t="shared" si="23"/>
        <v>542279</v>
      </c>
      <c r="E77" s="122">
        <v>100050</v>
      </c>
      <c r="F77" s="77">
        <f t="shared" si="24"/>
        <v>109880</v>
      </c>
      <c r="G77" s="77">
        <f t="shared" si="25"/>
        <v>95351</v>
      </c>
      <c r="H77" s="77">
        <f t="shared" si="26"/>
        <v>18351</v>
      </c>
      <c r="I77" s="77">
        <f t="shared" si="27"/>
        <v>39304</v>
      </c>
      <c r="J77" s="77">
        <f t="shared" si="28"/>
        <v>28947</v>
      </c>
      <c r="K77" s="77">
        <f t="shared" si="29"/>
        <v>0</v>
      </c>
      <c r="L77" s="123"/>
      <c r="M77" s="124">
        <f t="shared" si="30"/>
        <v>6982</v>
      </c>
      <c r="N77" s="125">
        <v>5</v>
      </c>
      <c r="O77" s="124">
        <f>+M77*N77</f>
        <v>34910</v>
      </c>
      <c r="P77" s="125">
        <v>2</v>
      </c>
      <c r="Q77" s="124">
        <f t="shared" si="31"/>
        <v>88439.4</v>
      </c>
      <c r="AI77" s="4"/>
      <c r="AL77" s="7"/>
    </row>
    <row r="78" spans="2:38" x14ac:dyDescent="0.2">
      <c r="B78" s="76">
        <v>10</v>
      </c>
      <c r="C78" s="122">
        <f t="shared" si="32"/>
        <v>363387</v>
      </c>
      <c r="D78" s="122">
        <f t="shared" si="23"/>
        <v>409903</v>
      </c>
      <c r="E78" s="122"/>
      <c r="F78" s="77">
        <f t="shared" si="24"/>
        <v>101748</v>
      </c>
      <c r="G78" s="77">
        <f t="shared" si="25"/>
        <v>71261</v>
      </c>
      <c r="H78" s="77">
        <f t="shared" si="26"/>
        <v>18351</v>
      </c>
      <c r="I78" s="77">
        <f t="shared" si="27"/>
        <v>29395</v>
      </c>
      <c r="J78" s="77">
        <f t="shared" si="28"/>
        <v>28947</v>
      </c>
      <c r="K78" s="77">
        <f t="shared" si="29"/>
        <v>0</v>
      </c>
      <c r="L78" s="123"/>
      <c r="M78" s="124">
        <f t="shared" si="30"/>
        <v>5384</v>
      </c>
      <c r="N78" s="125"/>
      <c r="O78" s="124">
        <f t="shared" si="33"/>
        <v>0</v>
      </c>
      <c r="P78" s="125">
        <v>2</v>
      </c>
      <c r="Q78" s="124">
        <f t="shared" si="31"/>
        <v>68199.46666666666</v>
      </c>
      <c r="AI78" s="4"/>
      <c r="AL78" s="7"/>
    </row>
    <row r="79" spans="2:38" x14ac:dyDescent="0.2">
      <c r="B79" s="76">
        <v>11</v>
      </c>
      <c r="C79" s="122">
        <f t="shared" si="32"/>
        <v>336492</v>
      </c>
      <c r="D79" s="122">
        <f t="shared" si="23"/>
        <v>309728</v>
      </c>
      <c r="E79" s="122"/>
      <c r="F79" s="77">
        <f t="shared" si="24"/>
        <v>94218</v>
      </c>
      <c r="G79" s="77">
        <f t="shared" si="25"/>
        <v>53114</v>
      </c>
      <c r="H79" s="77">
        <f t="shared" si="26"/>
        <v>18351</v>
      </c>
      <c r="I79" s="77">
        <f t="shared" si="27"/>
        <v>21881</v>
      </c>
      <c r="J79" s="77">
        <f t="shared" si="28"/>
        <v>28947</v>
      </c>
      <c r="K79" s="77">
        <f t="shared" si="29"/>
        <v>6729.84</v>
      </c>
      <c r="L79" s="123">
        <v>1</v>
      </c>
      <c r="M79" s="124">
        <f t="shared" si="30"/>
        <v>4576</v>
      </c>
      <c r="N79" s="125">
        <v>3</v>
      </c>
      <c r="O79" s="124">
        <f t="shared" si="33"/>
        <v>13728</v>
      </c>
      <c r="P79" s="125">
        <v>2</v>
      </c>
      <c r="Q79" s="124">
        <f t="shared" si="31"/>
        <v>57964.055999999997</v>
      </c>
      <c r="AI79" s="4"/>
      <c r="AL79" s="7"/>
    </row>
    <row r="80" spans="2:38" x14ac:dyDescent="0.2">
      <c r="B80" s="76">
        <v>12</v>
      </c>
      <c r="C80" s="122">
        <f t="shared" si="32"/>
        <v>311567</v>
      </c>
      <c r="D80" s="122">
        <f t="shared" si="23"/>
        <v>228619</v>
      </c>
      <c r="E80" s="122"/>
      <c r="F80" s="77">
        <f t="shared" si="24"/>
        <v>87239</v>
      </c>
      <c r="G80" s="77">
        <f t="shared" si="25"/>
        <v>44921</v>
      </c>
      <c r="H80" s="77">
        <f t="shared" si="26"/>
        <v>68290</v>
      </c>
      <c r="I80" s="77">
        <f t="shared" si="27"/>
        <v>17478</v>
      </c>
      <c r="J80" s="77">
        <f t="shared" si="28"/>
        <v>47824</v>
      </c>
      <c r="K80" s="77">
        <f t="shared" si="29"/>
        <v>0</v>
      </c>
      <c r="L80" s="123"/>
      <c r="M80" s="124">
        <f t="shared" si="30"/>
        <v>4242</v>
      </c>
      <c r="N80" s="125"/>
      <c r="O80" s="124">
        <f t="shared" si="33"/>
        <v>0</v>
      </c>
      <c r="P80" s="125">
        <v>2</v>
      </c>
      <c r="Q80" s="124">
        <f t="shared" si="31"/>
        <v>53729.2</v>
      </c>
      <c r="AI80" s="4"/>
      <c r="AL80" s="7"/>
    </row>
    <row r="81" spans="2:38" x14ac:dyDescent="0.2">
      <c r="B81" s="76">
        <v>13</v>
      </c>
      <c r="C81" s="122">
        <f t="shared" si="32"/>
        <v>288477</v>
      </c>
      <c r="D81" s="122">
        <f t="shared" si="23"/>
        <v>170126</v>
      </c>
      <c r="E81" s="122"/>
      <c r="F81" s="77">
        <f t="shared" si="24"/>
        <v>80773</v>
      </c>
      <c r="G81" s="77">
        <f t="shared" si="25"/>
        <v>33163</v>
      </c>
      <c r="H81" s="77">
        <f t="shared" si="26"/>
        <v>66269</v>
      </c>
      <c r="I81" s="77">
        <f t="shared" si="27"/>
        <v>12612</v>
      </c>
      <c r="J81" s="77">
        <f t="shared" si="28"/>
        <v>47824</v>
      </c>
      <c r="K81" s="77">
        <f t="shared" si="29"/>
        <v>0</v>
      </c>
      <c r="L81" s="123"/>
      <c r="M81" s="124">
        <f t="shared" si="30"/>
        <v>3680</v>
      </c>
      <c r="N81" s="125"/>
      <c r="O81" s="124">
        <f t="shared" si="33"/>
        <v>0</v>
      </c>
      <c r="P81" s="125">
        <v>2</v>
      </c>
      <c r="Q81" s="124">
        <f t="shared" si="31"/>
        <v>46616.26666666667</v>
      </c>
      <c r="AI81" s="4"/>
      <c r="AL81" s="7"/>
    </row>
    <row r="82" spans="2:38" x14ac:dyDescent="0.2">
      <c r="B82" s="76">
        <v>14</v>
      </c>
      <c r="C82" s="122">
        <f t="shared" si="32"/>
        <v>267064</v>
      </c>
      <c r="D82" s="122">
        <f t="shared" si="23"/>
        <v>128510</v>
      </c>
      <c r="E82" s="122"/>
      <c r="F82" s="77">
        <f t="shared" si="24"/>
        <v>74778</v>
      </c>
      <c r="G82" s="77">
        <f t="shared" si="25"/>
        <v>25005</v>
      </c>
      <c r="H82" s="77">
        <f t="shared" si="26"/>
        <v>65740</v>
      </c>
      <c r="I82" s="77">
        <f t="shared" si="27"/>
        <v>9324</v>
      </c>
      <c r="J82" s="77">
        <f t="shared" si="28"/>
        <v>47824</v>
      </c>
      <c r="K82" s="77">
        <f t="shared" si="29"/>
        <v>0</v>
      </c>
      <c r="L82" s="123"/>
      <c r="M82" s="124">
        <f t="shared" si="30"/>
        <v>3254</v>
      </c>
      <c r="N82" s="125"/>
      <c r="O82" s="124">
        <f t="shared" si="33"/>
        <v>0</v>
      </c>
      <c r="P82" s="125">
        <v>2</v>
      </c>
      <c r="Q82" s="124">
        <f t="shared" si="31"/>
        <v>41216.333333333336</v>
      </c>
      <c r="AI82" s="4"/>
      <c r="AL82" s="7"/>
    </row>
    <row r="83" spans="2:38" x14ac:dyDescent="0.2">
      <c r="B83" s="76">
        <v>15</v>
      </c>
      <c r="C83" s="122">
        <f t="shared" si="32"/>
        <v>247299</v>
      </c>
      <c r="D83" s="122">
        <f t="shared" si="23"/>
        <v>103221</v>
      </c>
      <c r="E83" s="122"/>
      <c r="F83" s="77">
        <f t="shared" si="24"/>
        <v>69244</v>
      </c>
      <c r="G83" s="77">
        <f t="shared" si="25"/>
        <v>19392</v>
      </c>
      <c r="H83" s="77">
        <f t="shared" si="26"/>
        <v>56612</v>
      </c>
      <c r="I83" s="77">
        <f t="shared" si="27"/>
        <v>7296</v>
      </c>
      <c r="J83" s="77">
        <f t="shared" si="28"/>
        <v>47824</v>
      </c>
      <c r="K83" s="77">
        <f t="shared" si="29"/>
        <v>0</v>
      </c>
      <c r="L83" s="123"/>
      <c r="M83" s="124">
        <f t="shared" si="30"/>
        <v>2899</v>
      </c>
      <c r="N83" s="125"/>
      <c r="O83" s="124">
        <f t="shared" si="33"/>
        <v>0</v>
      </c>
      <c r="P83" s="125">
        <v>2</v>
      </c>
      <c r="Q83" s="124">
        <f t="shared" si="31"/>
        <v>36725.866666666669</v>
      </c>
      <c r="AI83" s="4"/>
      <c r="AL83" s="7"/>
    </row>
    <row r="84" spans="2:38" x14ac:dyDescent="0.2">
      <c r="B84" s="76">
        <v>16</v>
      </c>
      <c r="C84" s="122">
        <f t="shared" si="32"/>
        <v>228937</v>
      </c>
      <c r="D84" s="122">
        <f t="shared" si="23"/>
        <v>101375</v>
      </c>
      <c r="E84" s="122"/>
      <c r="F84" s="77">
        <f t="shared" si="24"/>
        <v>64103</v>
      </c>
      <c r="G84" s="77">
        <f t="shared" si="25"/>
        <v>18887</v>
      </c>
      <c r="H84" s="77">
        <f t="shared" si="26"/>
        <v>59645</v>
      </c>
      <c r="I84" s="77">
        <f t="shared" si="27"/>
        <v>7087</v>
      </c>
      <c r="J84" s="77">
        <f t="shared" si="28"/>
        <v>47824</v>
      </c>
      <c r="K84" s="77">
        <f t="shared" si="29"/>
        <v>0</v>
      </c>
      <c r="L84" s="123"/>
      <c r="M84" s="124">
        <f t="shared" si="30"/>
        <v>2778</v>
      </c>
      <c r="N84" s="125">
        <v>4</v>
      </c>
      <c r="O84" s="124">
        <f t="shared" si="33"/>
        <v>11112</v>
      </c>
      <c r="P84" s="125">
        <v>1</v>
      </c>
      <c r="Q84" s="124">
        <f t="shared" si="31"/>
        <v>17595.266666666666</v>
      </c>
      <c r="AI84" s="4"/>
      <c r="AL84" s="7"/>
    </row>
    <row r="85" spans="2:38" x14ac:dyDescent="0.2">
      <c r="B85" s="76">
        <v>17</v>
      </c>
      <c r="C85" s="122">
        <f t="shared" si="32"/>
        <v>211986</v>
      </c>
      <c r="D85" s="122">
        <f t="shared" si="23"/>
        <v>78380</v>
      </c>
      <c r="E85" s="122"/>
      <c r="F85" s="77">
        <f t="shared" si="24"/>
        <v>59356</v>
      </c>
      <c r="G85" s="77">
        <f t="shared" si="25"/>
        <v>13610</v>
      </c>
      <c r="H85" s="77">
        <f t="shared" si="26"/>
        <v>55489</v>
      </c>
      <c r="I85" s="77">
        <f t="shared" si="27"/>
        <v>5082</v>
      </c>
      <c r="J85" s="77">
        <f t="shared" si="28"/>
        <v>47824</v>
      </c>
      <c r="K85" s="77">
        <f t="shared" si="29"/>
        <v>0</v>
      </c>
      <c r="L85" s="123"/>
      <c r="M85" s="124">
        <f t="shared" si="30"/>
        <v>2483</v>
      </c>
      <c r="N85" s="125"/>
      <c r="O85" s="124">
        <f t="shared" si="33"/>
        <v>0</v>
      </c>
      <c r="P85" s="125">
        <v>2</v>
      </c>
      <c r="Q85" s="124">
        <f t="shared" si="31"/>
        <v>31448.466666666667</v>
      </c>
      <c r="AI85" s="4"/>
      <c r="AL85" s="7"/>
    </row>
    <row r="86" spans="2:38" x14ac:dyDescent="0.2">
      <c r="B86" s="76">
        <v>18</v>
      </c>
      <c r="C86" s="122">
        <f t="shared" si="32"/>
        <v>196289</v>
      </c>
      <c r="D86" s="122">
        <f t="shared" si="23"/>
        <v>75906</v>
      </c>
      <c r="E86" s="122"/>
      <c r="F86" s="77">
        <f t="shared" si="24"/>
        <v>54961</v>
      </c>
      <c r="G86" s="77">
        <f t="shared" si="25"/>
        <v>12446</v>
      </c>
      <c r="H86" s="77">
        <f t="shared" si="26"/>
        <v>55489</v>
      </c>
      <c r="I86" s="77">
        <f t="shared" si="27"/>
        <v>4594</v>
      </c>
      <c r="J86" s="77">
        <f t="shared" si="28"/>
        <v>47824</v>
      </c>
      <c r="K86" s="77">
        <f t="shared" si="29"/>
        <v>0</v>
      </c>
      <c r="L86" s="123"/>
      <c r="M86" s="124">
        <f t="shared" si="30"/>
        <v>2355</v>
      </c>
      <c r="N86" s="125"/>
      <c r="O86" s="124">
        <f t="shared" si="33"/>
        <v>0</v>
      </c>
      <c r="P86" s="125">
        <v>2</v>
      </c>
      <c r="Q86" s="124">
        <f t="shared" si="31"/>
        <v>29833.933333333334</v>
      </c>
      <c r="AI86" s="4"/>
      <c r="AL86" s="7"/>
    </row>
    <row r="87" spans="2:38" x14ac:dyDescent="0.2">
      <c r="B87" s="76">
        <v>19</v>
      </c>
      <c r="C87" s="122">
        <f t="shared" si="32"/>
        <v>183452</v>
      </c>
      <c r="D87" s="122">
        <f t="shared" si="23"/>
        <v>83020</v>
      </c>
      <c r="E87" s="122"/>
      <c r="F87" s="77">
        <f t="shared" si="24"/>
        <v>51367</v>
      </c>
      <c r="G87" s="77">
        <f t="shared" si="25"/>
        <v>12618</v>
      </c>
      <c r="H87" s="77">
        <f t="shared" si="26"/>
        <v>57837</v>
      </c>
      <c r="I87" s="77">
        <f t="shared" si="27"/>
        <v>4668</v>
      </c>
      <c r="J87" s="77">
        <f t="shared" si="28"/>
        <v>47824</v>
      </c>
      <c r="K87" s="77">
        <f t="shared" si="29"/>
        <v>0</v>
      </c>
      <c r="L87" s="123"/>
      <c r="M87" s="124">
        <f t="shared" si="30"/>
        <v>2320</v>
      </c>
      <c r="N87" s="125"/>
      <c r="O87" s="124">
        <f t="shared" si="33"/>
        <v>0</v>
      </c>
      <c r="P87" s="125">
        <v>2</v>
      </c>
      <c r="Q87" s="124">
        <f t="shared" si="31"/>
        <v>29385.733333333334</v>
      </c>
      <c r="AI87" s="4"/>
      <c r="AL87" s="7"/>
    </row>
    <row r="88" spans="2:38" x14ac:dyDescent="0.2">
      <c r="B88" s="64">
        <v>20</v>
      </c>
      <c r="C88" s="122">
        <f t="shared" si="32"/>
        <v>171458</v>
      </c>
      <c r="D88" s="122">
        <f t="shared" si="23"/>
        <v>65396</v>
      </c>
      <c r="E88" s="122"/>
      <c r="F88" s="77">
        <f t="shared" si="24"/>
        <v>48008</v>
      </c>
      <c r="G88" s="77">
        <f t="shared" si="25"/>
        <v>8517</v>
      </c>
      <c r="H88" s="77">
        <f t="shared" si="26"/>
        <v>55566</v>
      </c>
      <c r="I88" s="77">
        <f t="shared" si="27"/>
        <v>3040</v>
      </c>
      <c r="J88" s="77">
        <f t="shared" si="28"/>
        <v>47824</v>
      </c>
      <c r="K88" s="77">
        <f t="shared" si="29"/>
        <v>0</v>
      </c>
      <c r="L88" s="123"/>
      <c r="M88" s="124">
        <f t="shared" si="30"/>
        <v>2104</v>
      </c>
      <c r="N88" s="125"/>
      <c r="O88" s="124">
        <f t="shared" si="33"/>
        <v>0</v>
      </c>
      <c r="P88" s="125">
        <v>2</v>
      </c>
      <c r="Q88" s="124">
        <f t="shared" si="31"/>
        <v>26653.933333333334</v>
      </c>
      <c r="AI88" s="4"/>
      <c r="AL88" s="7"/>
    </row>
    <row r="89" spans="2:38" x14ac:dyDescent="0.2">
      <c r="L89" s="4"/>
      <c r="O89" s="5"/>
      <c r="AI89" s="4"/>
      <c r="AL89" s="7"/>
    </row>
    <row r="90" spans="2:38" x14ac:dyDescent="0.2">
      <c r="L90" s="4"/>
      <c r="M90" s="5"/>
      <c r="AI90" s="4"/>
      <c r="AJ90" s="7"/>
    </row>
    <row r="94" spans="2:38" ht="12" thickBot="1" x14ac:dyDescent="0.25"/>
    <row r="95" spans="2:38" ht="12" thickBot="1" x14ac:dyDescent="0.25">
      <c r="B95" s="293" t="s">
        <v>47</v>
      </c>
      <c r="C95" s="294"/>
      <c r="D95" s="294"/>
      <c r="E95" s="295"/>
    </row>
    <row r="96" spans="2:38" x14ac:dyDescent="0.2">
      <c r="B96" s="126">
        <v>3</v>
      </c>
      <c r="C96" s="127">
        <v>473251</v>
      </c>
      <c r="D96" s="127">
        <f>ROUND(C96*0.34,0)</f>
        <v>160905</v>
      </c>
      <c r="E96" s="128">
        <f>+D96*4</f>
        <v>643620</v>
      </c>
    </row>
    <row r="97" spans="2:9" x14ac:dyDescent="0.2">
      <c r="B97" s="129">
        <v>4</v>
      </c>
      <c r="C97" s="130">
        <v>446468</v>
      </c>
      <c r="D97" s="130">
        <f t="shared" ref="D97:D105" si="34">ROUND(C97*0.34,0)</f>
        <v>151799</v>
      </c>
      <c r="E97" s="131">
        <f t="shared" ref="E97:E105" si="35">+D97*4</f>
        <v>607196</v>
      </c>
    </row>
    <row r="98" spans="2:9" x14ac:dyDescent="0.2">
      <c r="B98" s="129">
        <v>5</v>
      </c>
      <c r="C98" s="130">
        <v>445021</v>
      </c>
      <c r="D98" s="130">
        <f t="shared" si="34"/>
        <v>151307</v>
      </c>
      <c r="E98" s="131">
        <f t="shared" si="35"/>
        <v>605228</v>
      </c>
    </row>
    <row r="99" spans="2:9" x14ac:dyDescent="0.2">
      <c r="B99" s="129">
        <v>6</v>
      </c>
      <c r="C99" s="130">
        <v>397337</v>
      </c>
      <c r="D99" s="130">
        <f t="shared" si="34"/>
        <v>135095</v>
      </c>
      <c r="E99" s="131">
        <f t="shared" si="35"/>
        <v>540380</v>
      </c>
    </row>
    <row r="100" spans="2:9" x14ac:dyDescent="0.2">
      <c r="B100" s="129">
        <v>7</v>
      </c>
      <c r="C100" s="130">
        <v>362557</v>
      </c>
      <c r="D100" s="130">
        <f t="shared" si="34"/>
        <v>123269</v>
      </c>
      <c r="E100" s="131">
        <f t="shared" si="35"/>
        <v>493076</v>
      </c>
      <c r="I100" s="4">
        <f>2488956/30*13</f>
        <v>1078547.5999999999</v>
      </c>
    </row>
    <row r="101" spans="2:9" x14ac:dyDescent="0.2">
      <c r="B101" s="129">
        <v>8</v>
      </c>
      <c r="C101" s="130">
        <v>325172</v>
      </c>
      <c r="D101" s="130">
        <f t="shared" si="34"/>
        <v>110558</v>
      </c>
      <c r="E101" s="131">
        <f t="shared" si="35"/>
        <v>442232</v>
      </c>
    </row>
    <row r="102" spans="2:9" x14ac:dyDescent="0.2">
      <c r="B102" s="129">
        <v>9</v>
      </c>
      <c r="C102" s="130">
        <v>294266</v>
      </c>
      <c r="D102" s="130">
        <f t="shared" si="34"/>
        <v>100050</v>
      </c>
      <c r="E102" s="131">
        <f t="shared" si="35"/>
        <v>400200</v>
      </c>
      <c r="G102" s="12"/>
    </row>
    <row r="103" spans="2:9" x14ac:dyDescent="0.2">
      <c r="B103" s="129">
        <v>10</v>
      </c>
      <c r="C103" s="130">
        <v>266301</v>
      </c>
      <c r="D103" s="130">
        <f t="shared" si="34"/>
        <v>90542</v>
      </c>
      <c r="E103" s="131">
        <f t="shared" si="35"/>
        <v>362168</v>
      </c>
    </row>
    <row r="104" spans="2:9" x14ac:dyDescent="0.2">
      <c r="B104" s="129">
        <v>11</v>
      </c>
      <c r="C104" s="130">
        <v>241000</v>
      </c>
      <c r="D104" s="130">
        <f t="shared" si="34"/>
        <v>81940</v>
      </c>
      <c r="E104" s="131">
        <f t="shared" si="35"/>
        <v>327760</v>
      </c>
    </row>
    <row r="105" spans="2:9" ht="12" thickBot="1" x14ac:dyDescent="0.25">
      <c r="B105" s="132">
        <v>12</v>
      </c>
      <c r="C105" s="133">
        <v>218098</v>
      </c>
      <c r="D105" s="133">
        <f t="shared" si="34"/>
        <v>74153</v>
      </c>
      <c r="E105" s="134">
        <f t="shared" si="35"/>
        <v>296612</v>
      </c>
    </row>
    <row r="106" spans="2:9" x14ac:dyDescent="0.2">
      <c r="B106" s="135"/>
      <c r="C106" s="136"/>
      <c r="D106" s="136"/>
      <c r="E106" s="137"/>
    </row>
    <row r="107" spans="2:9" ht="12" thickBot="1" x14ac:dyDescent="0.25">
      <c r="B107" s="135"/>
      <c r="C107" s="136"/>
      <c r="D107" s="136"/>
      <c r="E107" s="137"/>
    </row>
    <row r="108" spans="2:9" ht="12" thickBot="1" x14ac:dyDescent="0.25">
      <c r="B108" s="293" t="s">
        <v>48</v>
      </c>
      <c r="C108" s="294"/>
      <c r="D108" s="294"/>
      <c r="E108" s="295"/>
    </row>
    <row r="109" spans="2:9" x14ac:dyDescent="0.2">
      <c r="B109" s="126">
        <v>3</v>
      </c>
      <c r="C109" s="127">
        <f>+C96/2</f>
        <v>236625.5</v>
      </c>
      <c r="D109" s="127">
        <f>ROUND(C109*0.34,0)</f>
        <v>80453</v>
      </c>
      <c r="E109" s="128">
        <f>+D109*4</f>
        <v>321812</v>
      </c>
    </row>
    <row r="110" spans="2:9" x14ac:dyDescent="0.2">
      <c r="B110" s="129">
        <v>4</v>
      </c>
      <c r="C110" s="130">
        <f t="shared" ref="C110:C118" si="36">+C97/2</f>
        <v>223234</v>
      </c>
      <c r="D110" s="130">
        <f t="shared" ref="D110:D118" si="37">ROUND(C110*0.34,0)</f>
        <v>75900</v>
      </c>
      <c r="E110" s="131">
        <f t="shared" ref="E110:E118" si="38">+D110*4</f>
        <v>303600</v>
      </c>
    </row>
    <row r="111" spans="2:9" x14ac:dyDescent="0.2">
      <c r="B111" s="129">
        <v>5</v>
      </c>
      <c r="C111" s="130">
        <f t="shared" si="36"/>
        <v>222510.5</v>
      </c>
      <c r="D111" s="130">
        <f t="shared" si="37"/>
        <v>75654</v>
      </c>
      <c r="E111" s="131">
        <f t="shared" si="38"/>
        <v>302616</v>
      </c>
    </row>
    <row r="112" spans="2:9" x14ac:dyDescent="0.2">
      <c r="B112" s="129">
        <v>6</v>
      </c>
      <c r="C112" s="130">
        <f t="shared" si="36"/>
        <v>198668.5</v>
      </c>
      <c r="D112" s="130">
        <f t="shared" si="37"/>
        <v>67547</v>
      </c>
      <c r="E112" s="131">
        <f t="shared" si="38"/>
        <v>270188</v>
      </c>
    </row>
    <row r="113" spans="2:5" x14ac:dyDescent="0.2">
      <c r="B113" s="129">
        <v>7</v>
      </c>
      <c r="C113" s="130">
        <f t="shared" si="36"/>
        <v>181278.5</v>
      </c>
      <c r="D113" s="130">
        <f t="shared" si="37"/>
        <v>61635</v>
      </c>
      <c r="E113" s="131">
        <f t="shared" si="38"/>
        <v>246540</v>
      </c>
    </row>
    <row r="114" spans="2:5" x14ac:dyDescent="0.2">
      <c r="B114" s="129">
        <v>8</v>
      </c>
      <c r="C114" s="130">
        <f t="shared" si="36"/>
        <v>162586</v>
      </c>
      <c r="D114" s="130">
        <f t="shared" si="37"/>
        <v>55279</v>
      </c>
      <c r="E114" s="131">
        <f t="shared" si="38"/>
        <v>221116</v>
      </c>
    </row>
    <row r="115" spans="2:5" x14ac:dyDescent="0.2">
      <c r="B115" s="129">
        <v>9</v>
      </c>
      <c r="C115" s="130">
        <f t="shared" si="36"/>
        <v>147133</v>
      </c>
      <c r="D115" s="130">
        <f t="shared" si="37"/>
        <v>50025</v>
      </c>
      <c r="E115" s="131">
        <f t="shared" si="38"/>
        <v>200100</v>
      </c>
    </row>
    <row r="116" spans="2:5" x14ac:dyDescent="0.2">
      <c r="B116" s="129">
        <v>10</v>
      </c>
      <c r="C116" s="130">
        <f t="shared" si="36"/>
        <v>133150.5</v>
      </c>
      <c r="D116" s="130">
        <f t="shared" si="37"/>
        <v>45271</v>
      </c>
      <c r="E116" s="131">
        <f t="shared" si="38"/>
        <v>181084</v>
      </c>
    </row>
    <row r="117" spans="2:5" x14ac:dyDescent="0.2">
      <c r="B117" s="129">
        <v>11</v>
      </c>
      <c r="C117" s="130">
        <f t="shared" si="36"/>
        <v>120500</v>
      </c>
      <c r="D117" s="130">
        <f t="shared" si="37"/>
        <v>40970</v>
      </c>
      <c r="E117" s="131">
        <f t="shared" si="38"/>
        <v>163880</v>
      </c>
    </row>
    <row r="118" spans="2:5" ht="12" thickBot="1" x14ac:dyDescent="0.25">
      <c r="B118" s="132">
        <v>12</v>
      </c>
      <c r="C118" s="133">
        <f t="shared" si="36"/>
        <v>109049</v>
      </c>
      <c r="D118" s="133">
        <f t="shared" si="37"/>
        <v>37077</v>
      </c>
      <c r="E118" s="134">
        <f t="shared" si="38"/>
        <v>148308</v>
      </c>
    </row>
  </sheetData>
  <mergeCells count="32">
    <mergeCell ref="B1:U1"/>
    <mergeCell ref="B31:H31"/>
    <mergeCell ref="J31:U31"/>
    <mergeCell ref="J32:U32"/>
    <mergeCell ref="B33:B34"/>
    <mergeCell ref="C33:C34"/>
    <mergeCell ref="D33:D34"/>
    <mergeCell ref="E33:G33"/>
    <mergeCell ref="H33:H34"/>
    <mergeCell ref="J33:J34"/>
    <mergeCell ref="K33:N33"/>
    <mergeCell ref="P33:T33"/>
    <mergeCell ref="U33:U34"/>
    <mergeCell ref="L62:L63"/>
    <mergeCell ref="B69:B70"/>
    <mergeCell ref="C69:C70"/>
    <mergeCell ref="D69:D70"/>
    <mergeCell ref="E69:E70"/>
    <mergeCell ref="F69:F70"/>
    <mergeCell ref="G69:G70"/>
    <mergeCell ref="B108:E108"/>
    <mergeCell ref="H69:H70"/>
    <mergeCell ref="I69:I70"/>
    <mergeCell ref="J69:J70"/>
    <mergeCell ref="K69:K70"/>
    <mergeCell ref="N69:N70"/>
    <mergeCell ref="O69:O70"/>
    <mergeCell ref="P69:P70"/>
    <mergeCell ref="Q69:Q70"/>
    <mergeCell ref="B95:E95"/>
    <mergeCell ref="L69:L70"/>
    <mergeCell ref="M69:M70"/>
  </mergeCells>
  <printOptions horizontalCentered="1"/>
  <pageMargins left="0.19685039370078741" right="0.19685039370078741" top="0.74803149606299213" bottom="0.55118110236220474" header="0.31496062992125984" footer="0.31496062992125984"/>
  <pageSetup scale="4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CN68"/>
  <sheetViews>
    <sheetView zoomScaleNormal="100" workbookViewId="0">
      <selection activeCell="A15" sqref="A15:XFD15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7.42578125" style="220" customWidth="1"/>
    <col min="5" max="5" width="13.5703125" style="220" bestFit="1" customWidth="1"/>
    <col min="6" max="6" width="8.42578125" style="220" customWidth="1"/>
    <col min="7" max="7" width="14.5703125" style="220" bestFit="1" customWidth="1"/>
    <col min="8" max="8" width="13.42578125" style="220" customWidth="1"/>
    <col min="9" max="10" width="12.42578125" style="220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18" width="11.5703125" style="222" bestFit="1" customWidth="1"/>
    <col min="19" max="19" width="7.42578125" style="222" bestFit="1" customWidth="1"/>
    <col min="20" max="16384" width="11.42578125" style="220"/>
  </cols>
  <sheetData>
    <row r="1" spans="1:92" s="219" customFormat="1" ht="30.75" customHeight="1" x14ac:dyDescent="0.25">
      <c r="A1" s="259">
        <v>1.0900000000000001</v>
      </c>
      <c r="B1" s="255">
        <v>1.1200000000000001</v>
      </c>
      <c r="C1" s="346" t="s">
        <v>89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240"/>
      <c r="S1" s="262"/>
      <c r="T1" s="279">
        <v>0.8</v>
      </c>
      <c r="W1" s="279">
        <v>7.0000000000000007E-2</v>
      </c>
    </row>
    <row r="2" spans="1:92" x14ac:dyDescent="0.25">
      <c r="A2" s="220"/>
      <c r="B2" s="221"/>
      <c r="O2" s="220"/>
      <c r="P2" s="222"/>
      <c r="R2" s="245"/>
    </row>
    <row r="3" spans="1:92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52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74" t="s">
        <v>70</v>
      </c>
      <c r="R3" s="277"/>
      <c r="S3" s="263"/>
    </row>
    <row r="4" spans="1:92" x14ac:dyDescent="0.25">
      <c r="A4" s="220"/>
      <c r="B4" s="251">
        <v>1</v>
      </c>
      <c r="C4" s="249">
        <f>+'EUS 2022'!C4*'EUS 2023'!$A$1</f>
        <v>768224.59087592573</v>
      </c>
      <c r="D4" s="249">
        <f>+'EUS 2022'!D4*'EUS 2023'!$A$1</f>
        <v>165168.38407803557</v>
      </c>
      <c r="E4" s="249">
        <f>+'EUS 2022'!E4*'EUS 2023'!$A$1</f>
        <v>2853289.1582076955</v>
      </c>
      <c r="F4" s="249">
        <f>+'EUS 2022'!F4*'EUS 2023'!$A$1</f>
        <v>215102.24210756735</v>
      </c>
      <c r="G4" s="249">
        <f>+'EUS 2022'!G4*'EUS 2023'!$A$1</f>
        <v>255024.0579701325</v>
      </c>
      <c r="H4" s="249">
        <f>+'EUS 2022'!H4*'EUS 2023'!$A$1</f>
        <v>23748.813807526083</v>
      </c>
      <c r="I4" s="249">
        <f>+'EUS 2022'!I4*'EUS 2023'!$A$1</f>
        <v>115530.04162522369</v>
      </c>
      <c r="J4" s="249">
        <f>+'EUS 2022'!J4*'EUS 2023'!$A$1</f>
        <v>0</v>
      </c>
      <c r="K4" s="249">
        <f>+'EUS 2022'!K4*'EUS 2023'!$A$1</f>
        <v>768224.65736592573</v>
      </c>
      <c r="L4" s="249">
        <f>+'EUS 2022'!L4*'EUS 2023'!$A$1</f>
        <v>2853288.0017176955</v>
      </c>
      <c r="M4" s="249">
        <f>+'EUS 2022'!M4*'EUS 2023'!$A$1</f>
        <v>0</v>
      </c>
      <c r="N4" s="249">
        <f>+'EUS 2022'!N4*'EUS 2023'!$A$1</f>
        <v>0</v>
      </c>
      <c r="O4" s="249">
        <f>+'EUS 2022'!O4*'EUS 2023'!$A$1</f>
        <v>0</v>
      </c>
      <c r="P4" s="254">
        <f>+'EUS 2022'!P4*'EUS 2023'!$B$1</f>
        <v>8238267.9045460708</v>
      </c>
      <c r="Q4" s="275">
        <f>+'EUS 2022'!Q4*'EUS 2023'!$A$1</f>
        <v>0</v>
      </c>
      <c r="R4" s="245">
        <f t="shared" ref="R4:R18" si="0">+R5-1</f>
        <v>1</v>
      </c>
      <c r="S4" s="222">
        <f>P4*$T$1</f>
        <v>6590614.3236368569</v>
      </c>
    </row>
    <row r="5" spans="1:92" x14ac:dyDescent="0.25">
      <c r="A5" s="220"/>
      <c r="B5" s="251">
        <v>2</v>
      </c>
      <c r="C5" s="249">
        <f>+'EUS 2022'!C5*'EUS 2023'!$A$1</f>
        <v>725080.47316480579</v>
      </c>
      <c r="D5" s="249">
        <f>+'EUS 2022'!D5*'EUS 2023'!$A$1</f>
        <v>155892.74115594814</v>
      </c>
      <c r="E5" s="249">
        <f>+'EUS 2022'!E5*'EUS 2023'!$A$1</f>
        <v>2729767.2188979629</v>
      </c>
      <c r="F5" s="249">
        <f>+'EUS 2022'!F5*'EUS 2023'!$A$1</f>
        <v>203021.56533125378</v>
      </c>
      <c r="G5" s="249">
        <f>+'EUS 2022'!G5*'EUS 2023'!$A$1</f>
        <v>262071.57993375108</v>
      </c>
      <c r="H5" s="249">
        <f>+'EUS 2022'!H5*'EUS 2023'!$A$1</f>
        <v>23748.813807526083</v>
      </c>
      <c r="I5" s="249">
        <f>+'EUS 2022'!I5*'EUS 2023'!$A$1</f>
        <v>119187.25034040352</v>
      </c>
      <c r="J5" s="249">
        <f>+'EUS 2022'!J5*'EUS 2023'!$A$1</f>
        <v>0</v>
      </c>
      <c r="K5" s="249">
        <f>+'EUS 2022'!K5*'EUS 2023'!$A$1</f>
        <v>0</v>
      </c>
      <c r="L5" s="249">
        <f>+'EUS 2022'!L5*'EUS 2023'!$A$1</f>
        <v>0</v>
      </c>
      <c r="M5" s="249">
        <f>+'EUS 2022'!M5*'EUS 2023'!$A$1</f>
        <v>0</v>
      </c>
      <c r="N5" s="249">
        <f>+'EUS 2022'!N5*'EUS 2023'!$A$1</f>
        <v>0</v>
      </c>
      <c r="O5" s="249">
        <f>+'EUS 2022'!O5*'EUS 2023'!$A$1</f>
        <v>0</v>
      </c>
      <c r="P5" s="254">
        <f>+'EUS 2022'!P5*'EUS 2023'!$B$1</f>
        <v>4334881.448575642</v>
      </c>
      <c r="Q5" s="275">
        <f>+'EUS 2022'!Q5*'EUS 2023'!$A$1</f>
        <v>0</v>
      </c>
      <c r="R5" s="245">
        <f t="shared" si="0"/>
        <v>2</v>
      </c>
      <c r="S5" s="222">
        <f t="shared" ref="S5:S20" si="1">P5*$T$1</f>
        <v>3467905.1588605139</v>
      </c>
    </row>
    <row r="6" spans="1:92" s="280" customFormat="1" x14ac:dyDescent="0.25">
      <c r="B6" s="281">
        <v>3</v>
      </c>
      <c r="C6" s="282">
        <f>+'EUS 2022'!C6*'EUS 2023'!$A$1</f>
        <v>765565.04274775274</v>
      </c>
      <c r="D6" s="282">
        <f>+'EUS 2022'!D6*'EUS 2023'!$A$1</f>
        <v>164596.2659215056</v>
      </c>
      <c r="E6" s="282">
        <f>+'EUS 2022'!E6*'EUS 2023'!$A$1</f>
        <v>2250969.3353092982</v>
      </c>
      <c r="F6" s="282">
        <f>+'EUS 2022'!F6*'EUS 2023'!$A$1</f>
        <v>214358.72491653985</v>
      </c>
      <c r="G6" s="282">
        <f>+'EUS 2022'!G6*'EUS 2023'!$A$1</f>
        <v>263039.62247308576</v>
      </c>
      <c r="H6" s="282">
        <f>+'EUS 2022'!H6*'EUS 2023'!$A$1</f>
        <v>23748.813807526083</v>
      </c>
      <c r="I6" s="282">
        <f>+'EUS 2022'!I6*'EUS 2023'!$A$1</f>
        <v>119664.89557468993</v>
      </c>
      <c r="J6" s="282">
        <f>+'EUS 2022'!J6*'EUS 2023'!$A$1</f>
        <v>32576.521605305919</v>
      </c>
      <c r="K6" s="282">
        <f>+'EUS 2022'!K6*'EUS 2023'!$A$1</f>
        <v>0</v>
      </c>
      <c r="L6" s="282">
        <f>+'EUS 2022'!L6*'EUS 2023'!$A$1</f>
        <v>0</v>
      </c>
      <c r="M6" s="282">
        <f>+'EUS 2022'!M6*'EUS 2023'!$A$1</f>
        <v>904960.89677657676</v>
      </c>
      <c r="N6" s="282">
        <f>+'EUS 2022'!N6*'EUS 2023'!$A$1</f>
        <v>603306.87049694883</v>
      </c>
      <c r="O6" s="282">
        <f>+'EUS 2022'!O6*'EUS 2023'!$A$1</f>
        <v>612458.30481450679</v>
      </c>
      <c r="P6" s="283">
        <f>+'EUS 2022'!P6*'EUS 2023'!$B$1</f>
        <v>6119152.3165557664</v>
      </c>
      <c r="Q6" s="284">
        <f>+'EUS 2022'!Q6*'EUS 2023'!$A$1</f>
        <v>306230.9203872534</v>
      </c>
      <c r="R6" s="285">
        <f t="shared" si="0"/>
        <v>3</v>
      </c>
      <c r="S6" s="286">
        <f t="shared" si="1"/>
        <v>4895321.8532446129</v>
      </c>
      <c r="W6" s="287">
        <f>(P6*W1)+P6</f>
        <v>6547492.9787146701</v>
      </c>
      <c r="X6" s="288">
        <f>W6*11</f>
        <v>72022422.765861377</v>
      </c>
    </row>
    <row r="7" spans="1:92" x14ac:dyDescent="0.25">
      <c r="A7" s="220"/>
      <c r="B7" s="251">
        <v>4</v>
      </c>
      <c r="C7" s="249">
        <f>+'EUS 2022'!C7*'EUS 2023'!$A$1</f>
        <v>722251.79806444189</v>
      </c>
      <c r="D7" s="249">
        <f>+'EUS 2022'!D7*'EUS 2023'!$A$1</f>
        <v>155283.97906790499</v>
      </c>
      <c r="E7" s="249">
        <f>+'EUS 2022'!E7*'EUS 2023'!$A$1</f>
        <v>2183931.0101269064</v>
      </c>
      <c r="F7" s="249">
        <f>+'EUS 2022'!F7*'EUS 2023'!$A$1</f>
        <v>202231.94771025795</v>
      </c>
      <c r="G7" s="249">
        <f>+'EUS 2022'!G7*'EUS 2023'!$A$1</f>
        <v>269159.13346349669</v>
      </c>
      <c r="H7" s="249">
        <f>+'EUS 2022'!H7*'EUS 2023'!$A$1</f>
        <v>23748.813807526083</v>
      </c>
      <c r="I7" s="249">
        <f>+'EUS 2022'!I7*'EUS 2023'!$A$1</f>
        <v>122826.79461098017</v>
      </c>
      <c r="J7" s="249">
        <f>+'EUS 2022'!J7*'EUS 2023'!$A$1</f>
        <v>32576.521605305919</v>
      </c>
      <c r="K7" s="249">
        <f>+'EUS 2022'!K7*'EUS 2023'!$A$1</f>
        <v>0</v>
      </c>
      <c r="L7" s="249">
        <f>+'EUS 2022'!L7*'EUS 2023'!$A$1</f>
        <v>0</v>
      </c>
      <c r="M7" s="249">
        <f>+'EUS 2022'!M7*'EUS 2023'!$A$1</f>
        <v>0</v>
      </c>
      <c r="N7" s="249">
        <f>+'EUS 2022'!N7*'EUS 2023'!$A$1</f>
        <v>0</v>
      </c>
      <c r="O7" s="249">
        <f>+'EUS 2022'!O7*'EUS 2023'!$A$1</f>
        <v>577795.66827986471</v>
      </c>
      <c r="P7" s="254">
        <f>+'EUS 2022'!P7*'EUS 2023'!$B$1</f>
        <v>4407868.9593301713</v>
      </c>
      <c r="Q7" s="275">
        <f>+'EUS 2022'!Q7*'EUS 2023'!$A$1</f>
        <v>288898.39192608575</v>
      </c>
      <c r="R7" s="245">
        <f t="shared" si="0"/>
        <v>4</v>
      </c>
      <c r="S7" s="222">
        <f t="shared" si="1"/>
        <v>3526295.1674641371</v>
      </c>
    </row>
    <row r="8" spans="1:92" s="280" customFormat="1" x14ac:dyDescent="0.25">
      <c r="B8" s="281">
        <v>5</v>
      </c>
      <c r="C8" s="282">
        <f>+'EUS 2022'!C8*'EUS 2023'!$A$1</f>
        <v>681393.93206174858</v>
      </c>
      <c r="D8" s="282">
        <f>+'EUS 2022'!D8*'EUS 2023'!$A$1</f>
        <v>146498.8920031728</v>
      </c>
      <c r="E8" s="282">
        <f>+'EUS 2022'!E8*'EUS 2023'!$A$1</f>
        <v>1877036.9527854929</v>
      </c>
      <c r="F8" s="282">
        <f>+'EUS 2022'!F8*'EUS 2023'!$A$1</f>
        <v>190790.76664196642</v>
      </c>
      <c r="G8" s="282">
        <f>+'EUS 2022'!G8*'EUS 2023'!$A$1</f>
        <v>275302.311272352</v>
      </c>
      <c r="H8" s="282">
        <f>+'EUS 2022'!H8*'EUS 2023'!$A$1</f>
        <v>23748.813807526083</v>
      </c>
      <c r="I8" s="282">
        <f>+'EUS 2022'!I8*'EUS 2023'!$A$1</f>
        <v>126039.73202338688</v>
      </c>
      <c r="J8" s="282">
        <f>+'EUS 2022'!J8*'EUS 2023'!$A$1</f>
        <v>32576.521605305919</v>
      </c>
      <c r="K8" s="282">
        <f>+'EUS 2022'!K8*'EUS 2023'!$A$1</f>
        <v>0</v>
      </c>
      <c r="L8" s="282">
        <f>+'EUS 2022'!L8*'EUS 2023'!$A$1</f>
        <v>0</v>
      </c>
      <c r="M8" s="282">
        <f>+'EUS 2022'!M8*'EUS 2023'!$A$1</f>
        <v>0</v>
      </c>
      <c r="N8" s="282">
        <f>+'EUS 2022'!N8*'EUS 2023'!$A$1</f>
        <v>0</v>
      </c>
      <c r="O8" s="282">
        <f>+'EUS 2022'!O8*'EUS 2023'!$A$1</f>
        <v>575924.39715807361</v>
      </c>
      <c r="P8" s="283">
        <f>+'EUS 2022'!P8*'EUS 2023'!$B$1</f>
        <v>4037459.6499835858</v>
      </c>
      <c r="Q8" s="284">
        <f>+'EUS 2022'!Q8*'EUS 2023'!$A$1</f>
        <v>287962.19857903681</v>
      </c>
      <c r="R8" s="285">
        <f t="shared" si="0"/>
        <v>5</v>
      </c>
      <c r="S8" s="286">
        <f t="shared" si="1"/>
        <v>3229967.719986869</v>
      </c>
      <c r="W8" s="287">
        <f>(P8*W1)+P8</f>
        <v>4320081.8254824365</v>
      </c>
      <c r="X8" s="288">
        <f>(W8*11)*-1</f>
        <v>-47520900.080306798</v>
      </c>
    </row>
    <row r="9" spans="1:92" x14ac:dyDescent="0.25">
      <c r="A9" s="220"/>
      <c r="B9" s="251">
        <v>6</v>
      </c>
      <c r="C9" s="249">
        <f>+'EUS 2022'!C9*'EUS 2023'!$A$1</f>
        <v>642773.59237136529</v>
      </c>
      <c r="D9" s="249">
        <f>+'EUS 2022'!D9*'EUS 2023'!$A$1</f>
        <v>138197.26842195456</v>
      </c>
      <c r="E9" s="249">
        <f>+'EUS 2022'!E9*'EUS 2023'!$A$1</f>
        <v>1586244.702692251</v>
      </c>
      <c r="F9" s="249">
        <f>+'EUS 2022'!F9*'EUS 2023'!$A$1</f>
        <v>179976.07859632128</v>
      </c>
      <c r="G9" s="249">
        <f>+'EUS 2022'!G9*'EUS 2023'!$A$1</f>
        <v>307723.98271545663</v>
      </c>
      <c r="H9" s="249">
        <f>+'EUS 2022'!H9*'EUS 2023'!$A$1</f>
        <v>23747.657317526078</v>
      </c>
      <c r="I9" s="249">
        <f>+'EUS 2022'!I9*'EUS 2023'!$A$1</f>
        <v>117267.67321633729</v>
      </c>
      <c r="J9" s="249">
        <f>+'EUS 2022'!J9*'EUS 2023'!$A$1</f>
        <v>37532.726459999998</v>
      </c>
      <c r="K9" s="249">
        <f>+'EUS 2022'!K9*'EUS 2023'!$A$1</f>
        <v>0</v>
      </c>
      <c r="L9" s="249">
        <f>+'EUS 2022'!L9*'EUS 2023'!$A$1</f>
        <v>0</v>
      </c>
      <c r="M9" s="249">
        <f>+'EUS 2022'!M9*'EUS 2023'!$A$1</f>
        <v>0</v>
      </c>
      <c r="N9" s="249">
        <f>+'EUS 2022'!N9*'EUS 2023'!$A$1</f>
        <v>0</v>
      </c>
      <c r="O9" s="249">
        <f>+'EUS 2022'!O9*'EUS 2023'!$A$1</f>
        <v>514213.65236509632</v>
      </c>
      <c r="P9" s="254">
        <f>+'EUS 2022'!P9*'EUS 2023'!$B$1</f>
        <v>3645244.6962820766</v>
      </c>
      <c r="Q9" s="275">
        <f>+'EUS 2022'!Q9*'EUS 2023'!$A$1</f>
        <v>257105.66969254817</v>
      </c>
      <c r="R9" s="245">
        <f t="shared" si="0"/>
        <v>6</v>
      </c>
      <c r="S9" s="222">
        <f t="shared" si="1"/>
        <v>2916195.7570256614</v>
      </c>
    </row>
    <row r="10" spans="1:92" x14ac:dyDescent="0.25">
      <c r="A10" s="222"/>
      <c r="B10" s="251">
        <v>7</v>
      </c>
      <c r="C10" s="249">
        <f>+'EUS 2022'!C10*'EUS 2023'!$A$1</f>
        <v>600659.43216985604</v>
      </c>
      <c r="D10" s="249">
        <f>+'EUS 2022'!D10*'EUS 2023'!$A$1</f>
        <v>129142.51261035266</v>
      </c>
      <c r="E10" s="249">
        <f>+'EUS 2022'!E10*'EUS 2023'!$A$1</f>
        <v>1205987.630334601</v>
      </c>
      <c r="F10" s="249">
        <f>+'EUS 2022'!F10*'EUS 2023'!$A$1</f>
        <v>168184.6223903597</v>
      </c>
      <c r="G10" s="249">
        <f>+'EUS 2022'!G10*'EUS 2023'!$A$1</f>
        <v>215126.51278032642</v>
      </c>
      <c r="H10" s="249">
        <f>+'EUS 2022'!H10*'EUS 2023'!$A$1</f>
        <v>24076.706700332164</v>
      </c>
      <c r="I10" s="249">
        <f>+'EUS 2022'!I10*'EUS 2023'!$A$1</f>
        <v>88665.9387459149</v>
      </c>
      <c r="J10" s="249">
        <f>+'EUS 2022'!J10*'EUS 2023'!$A$1</f>
        <v>37979.144330641924</v>
      </c>
      <c r="K10" s="249">
        <f>+'EUS 2022'!K10*'EUS 2023'!$A$1</f>
        <v>0</v>
      </c>
      <c r="L10" s="249">
        <f>+'EUS 2022'!L10*'EUS 2023'!$A$1</f>
        <v>0</v>
      </c>
      <c r="M10" s="249">
        <f>+'EUS 2022'!M10*'EUS 2023'!$A$1</f>
        <v>0</v>
      </c>
      <c r="N10" s="249">
        <f>+'EUS 2022'!N10*'EUS 2023'!$A$1</f>
        <v>0</v>
      </c>
      <c r="O10" s="249">
        <f>+'EUS 2022'!O10*'EUS 2023'!$A$1</f>
        <v>475680.0764403193</v>
      </c>
      <c r="P10" s="254">
        <f>+'EUS 2022'!P10*'EUS 2023'!$B$1</f>
        <v>3026573.7630750728</v>
      </c>
      <c r="Q10" s="275">
        <f>+'EUS 2022'!Q10*'EUS 2023'!$A$1</f>
        <v>237840.61646515969</v>
      </c>
      <c r="R10" s="245">
        <f t="shared" si="0"/>
        <v>7</v>
      </c>
      <c r="S10" s="222">
        <f t="shared" si="1"/>
        <v>2421259.0104600582</v>
      </c>
    </row>
    <row r="11" spans="1:92" x14ac:dyDescent="0.25">
      <c r="A11" s="220"/>
      <c r="B11" s="251">
        <v>8</v>
      </c>
      <c r="C11" s="249">
        <f>+'EUS 2022'!C11*'EUS 2023'!$A$1</f>
        <v>566601.41483977705</v>
      </c>
      <c r="D11" s="249">
        <f>+'EUS 2022'!D11*'EUS 2023'!$A$1</f>
        <v>121818.74419753168</v>
      </c>
      <c r="E11" s="249">
        <f>+'EUS 2022'!E11*'EUS 2023'!$A$1</f>
        <v>943402.84585721255</v>
      </c>
      <c r="F11" s="249">
        <f>+'EUS 2022'!F11*'EUS 2023'!$A$1</f>
        <v>158648.12117678788</v>
      </c>
      <c r="G11" s="249">
        <f>+'EUS 2022'!G11*'EUS 2023'!$A$1</f>
        <v>167180.39928804696</v>
      </c>
      <c r="H11" s="249">
        <f>+'EUS 2022'!H11*'EUS 2023'!$A$1</f>
        <v>24530.533513136037</v>
      </c>
      <c r="I11" s="249">
        <f>+'EUS 2022'!I11*'EUS 2023'!$A$1</f>
        <v>68926.204887294443</v>
      </c>
      <c r="J11" s="249">
        <f>+'EUS 2022'!J11*'EUS 2023'!$A$1</f>
        <v>38695.021059096478</v>
      </c>
      <c r="K11" s="249">
        <f>+'EUS 2022'!K11*'EUS 2023'!$A$1</f>
        <v>0</v>
      </c>
      <c r="L11" s="249">
        <f>+'EUS 2022'!L11*'EUS 2023'!$A$1</f>
        <v>0</v>
      </c>
      <c r="M11" s="249">
        <f>+'EUS 2022'!M11*'EUS 2023'!$A$1</f>
        <v>0</v>
      </c>
      <c r="N11" s="249">
        <f>+'EUS 2022'!N11*'EUS 2023'!$A$1</f>
        <v>0</v>
      </c>
      <c r="O11" s="249">
        <f>+'EUS 2022'!O11*'EUS 2023'!$A$1</f>
        <v>434672.00312017865</v>
      </c>
      <c r="P11" s="254">
        <f>+'EUS 2022'!P11*'EUS 2023'!$A$1</f>
        <v>2477770.0657047066</v>
      </c>
      <c r="Q11" s="275">
        <f>+'EUS 2022'!Q11*'EUS 2023'!$A$1</f>
        <v>217336.54656008934</v>
      </c>
      <c r="R11" s="245">
        <f t="shared" si="0"/>
        <v>8</v>
      </c>
      <c r="S11" s="222">
        <f t="shared" si="1"/>
        <v>1982216.0525637653</v>
      </c>
    </row>
    <row r="12" spans="1:92" x14ac:dyDescent="0.25">
      <c r="A12" s="220"/>
      <c r="B12" s="251">
        <v>9</v>
      </c>
      <c r="C12" s="240">
        <f>+'EUS 2022'!C12*'EUS 2023'!$B$1</f>
        <v>539016.15429239883</v>
      </c>
      <c r="D12" s="240">
        <f>+'EUS 2022'!D12*'EUS 2023'!$B$1</f>
        <v>115888.94606942017</v>
      </c>
      <c r="E12" s="240">
        <f>+'EUS 2022'!E12*'EUS 2023'!$B$1</f>
        <v>744842.94166150398</v>
      </c>
      <c r="F12" s="240">
        <f>+'EUS 2022'!F12*'EUS 2023'!$B$1</f>
        <v>150924.23460540609</v>
      </c>
      <c r="G12" s="240">
        <f>+'EUS 2022'!G12*'EUS 2023'!$B$1</f>
        <v>130967.76297188865</v>
      </c>
      <c r="H12" s="240">
        <f>+'EUS 2022'!H12*'EUS 2023'!$B$1</f>
        <v>25206.874131662717</v>
      </c>
      <c r="I12" s="240">
        <f>+'EUS 2022'!I12*'EUS 2023'!$B$1</f>
        <v>53985.658561627526</v>
      </c>
      <c r="J12" s="240">
        <f>+'EUS 2022'!J12*'EUS 2023'!$B$1</f>
        <v>39760.021638704638</v>
      </c>
      <c r="K12" s="240">
        <f>+'EUS 2022'!K12*'EUS 2023'!$B$1</f>
        <v>0</v>
      </c>
      <c r="L12" s="240">
        <f>+'EUS 2022'!L12*'EUS 2023'!$B$1</f>
        <v>0</v>
      </c>
      <c r="M12" s="240">
        <f>+'EUS 2022'!M12*'EUS 2023'!$B$1</f>
        <v>0</v>
      </c>
      <c r="N12" s="240">
        <f>+'EUS 2022'!N12*'EUS 2023'!$B$1</f>
        <v>0</v>
      </c>
      <c r="O12" s="240">
        <f>+'EUS 2022'!O12*'EUS 2023'!$B$1</f>
        <v>404186.74022912636</v>
      </c>
      <c r="P12" s="254">
        <f>+'EUS 2022'!P12*'EUS 2023'!$B$1</f>
        <v>2204778.009201739</v>
      </c>
      <c r="Q12" s="276">
        <f>+'EUS 2022'!Q12*'EUS 2023'!$B$1</f>
        <v>202092.18179456322</v>
      </c>
      <c r="R12" s="245">
        <f t="shared" si="0"/>
        <v>9</v>
      </c>
      <c r="S12" s="222">
        <f t="shared" si="1"/>
        <v>1763822.4073613912</v>
      </c>
    </row>
    <row r="13" spans="1:92" s="256" customFormat="1" x14ac:dyDescent="0.25">
      <c r="A13" s="220"/>
      <c r="B13" s="251">
        <v>10</v>
      </c>
      <c r="C13" s="240">
        <f>+'EUS 2022'!C13*'EUS 2023'!$B$1</f>
        <v>499126.71049685247</v>
      </c>
      <c r="D13" s="240">
        <f>+'EUS 2022'!D13*'EUS 2023'!$B$1</f>
        <v>107311.4101630771</v>
      </c>
      <c r="E13" s="240">
        <f>+'EUS 2022'!E13*'EUS 2023'!$B$1</f>
        <v>563018.50091696833</v>
      </c>
      <c r="F13" s="240">
        <f>+'EUS 2022'!F13*'EUS 2023'!$B$1</f>
        <v>139754.74474520833</v>
      </c>
      <c r="G13" s="240">
        <f>+'EUS 2022'!G13*'EUS 2023'!$B$1</f>
        <v>97879.508021218557</v>
      </c>
      <c r="H13" s="240">
        <f>+'EUS 2022'!H13*'EUS 2023'!$B$1</f>
        <v>25206.874131662717</v>
      </c>
      <c r="I13" s="240">
        <f>+'EUS 2022'!I13*'EUS 2023'!$B$1</f>
        <v>40374.830119935359</v>
      </c>
      <c r="J13" s="240">
        <f>+'EUS 2022'!J13*'EUS 2023'!$B$1</f>
        <v>39760.021638704638</v>
      </c>
      <c r="K13" s="240">
        <f>+'EUS 2022'!K13*'EUS 2023'!$B$1</f>
        <v>0</v>
      </c>
      <c r="L13" s="240">
        <f>+'EUS 2022'!L13*'EUS 2023'!$B$1</f>
        <v>0</v>
      </c>
      <c r="M13" s="240">
        <f>+'EUS 2022'!M13*'EUS 2023'!$B$1</f>
        <v>0</v>
      </c>
      <c r="N13" s="240">
        <f>+'EUS 2022'!N13*'EUS 2023'!$B$1</f>
        <v>0</v>
      </c>
      <c r="O13" s="240">
        <f>+'EUS 2022'!O13*'EUS 2023'!$B$1</f>
        <v>365774.19943808572</v>
      </c>
      <c r="P13" s="254">
        <f>+'EUS 2022'!P13*'EUS 2023'!$B$1</f>
        <v>1878205.6113517133</v>
      </c>
      <c r="Q13" s="276">
        <f>+'EUS 2022'!Q13*'EUS 2023'!$B$1</f>
        <v>182888.25491105791</v>
      </c>
      <c r="R13" s="245">
        <f t="shared" si="0"/>
        <v>10</v>
      </c>
      <c r="S13" s="222">
        <f t="shared" si="1"/>
        <v>1502564.4890813706</v>
      </c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</row>
    <row r="14" spans="1:92" x14ac:dyDescent="0.25">
      <c r="A14" s="220"/>
      <c r="B14" s="251">
        <v>11</v>
      </c>
      <c r="C14" s="240">
        <f>+'EUS 2022'!C14*'EUS 2023'!$B$1</f>
        <v>462184.60106255807</v>
      </c>
      <c r="D14" s="240">
        <f>+'EUS 2022'!D14*'EUS 2023'!$B$1</f>
        <v>99368.689697513604</v>
      </c>
      <c r="E14" s="240">
        <f>+'EUS 2022'!E14*'EUS 2023'!$B$1</f>
        <v>425422.94767196226</v>
      </c>
      <c r="F14" s="240">
        <f>+'EUS 2022'!F14*'EUS 2023'!$B$1</f>
        <v>129412.02044918784</v>
      </c>
      <c r="G14" s="240">
        <f>+'EUS 2022'!G14*'EUS 2023'!$B$1</f>
        <v>72953.658906817916</v>
      </c>
      <c r="H14" s="240">
        <f>+'EUS 2022'!H14*'EUS 2023'!$B$1</f>
        <v>25206.874131662717</v>
      </c>
      <c r="I14" s="240">
        <f>+'EUS 2022'!I14*'EUS 2023'!$B$1</f>
        <v>30055.741935403516</v>
      </c>
      <c r="J14" s="240">
        <f>+'EUS 2022'!J14*'EUS 2023'!$B$1</f>
        <v>39760.021638704638</v>
      </c>
      <c r="K14" s="240">
        <f>+'EUS 2022'!K14*'EUS 2023'!$B$1</f>
        <v>0</v>
      </c>
      <c r="L14" s="240">
        <f>+'EUS 2022'!L14*'EUS 2023'!$B$1</f>
        <v>0</v>
      </c>
      <c r="M14" s="240">
        <f>+'EUS 2022'!M14*'EUS 2023'!$B$1</f>
        <v>0</v>
      </c>
      <c r="N14" s="240">
        <f>+'EUS 2022'!N14*'EUS 2023'!$B$1</f>
        <v>0</v>
      </c>
      <c r="O14" s="240">
        <f>+'EUS 2022'!O14*'EUS 2023'!$B$1</f>
        <v>331023.63545533188</v>
      </c>
      <c r="P14" s="254">
        <f>+'EUS 2022'!P14*'EUS 2023'!$B$1</f>
        <v>1615385.7459891425</v>
      </c>
      <c r="Q14" s="276">
        <f>+'EUS 2022'!Q14*'EUS 2023'!$B$1</f>
        <v>165511.18940766592</v>
      </c>
      <c r="R14" s="245">
        <f t="shared" si="0"/>
        <v>11</v>
      </c>
      <c r="S14" s="222">
        <f t="shared" si="1"/>
        <v>1292308.596791314</v>
      </c>
      <c r="T14" s="222"/>
    </row>
    <row r="15" spans="1:92" x14ac:dyDescent="0.25">
      <c r="A15" s="220"/>
      <c r="B15" s="251">
        <v>12</v>
      </c>
      <c r="C15" s="240">
        <f>+'EUS 2022'!C15*'EUS 2023'!$B$1</f>
        <v>427948.47535538115</v>
      </c>
      <c r="D15" s="240">
        <f>+'EUS 2022'!D15*'EUS 2023'!$B$1</f>
        <v>92009.347057962877</v>
      </c>
      <c r="E15" s="240">
        <f>+'EUS 2022'!E15*'EUS 2023'!$B$1</f>
        <v>314015.47947903612</v>
      </c>
      <c r="F15" s="240">
        <f>+'EUS 2022'!F15*'EUS 2023'!$B$1</f>
        <v>119827.06003899903</v>
      </c>
      <c r="G15" s="240">
        <f>+'EUS 2022'!G15*'EUS 2023'!$B$1</f>
        <v>61700.046200665602</v>
      </c>
      <c r="H15" s="240">
        <f>+'EUS 2022'!H15*'EUS 2023'!$B$1</f>
        <v>93798.304071068793</v>
      </c>
      <c r="I15" s="240">
        <f>+'EUS 2022'!I15*'EUS 2023'!$B$1</f>
        <v>24006.311184419195</v>
      </c>
      <c r="J15" s="240">
        <f>+'EUS 2022'!J15*'EUS 2023'!$B$1</f>
        <v>65688.27695307137</v>
      </c>
      <c r="K15" s="240">
        <f>+'EUS 2022'!K15*'EUS 2023'!$B$1</f>
        <v>0</v>
      </c>
      <c r="L15" s="240">
        <f>+'EUS 2022'!L15*'EUS 2023'!$B$1</f>
        <v>0</v>
      </c>
      <c r="M15" s="240">
        <f>+'EUS 2022'!M15*'EUS 2023'!$B$1</f>
        <v>0</v>
      </c>
      <c r="N15" s="240">
        <f>+'EUS 2022'!N15*'EUS 2023'!$B$1</f>
        <v>0</v>
      </c>
      <c r="O15" s="240">
        <f>+'EUS 2022'!O15*'EUS 2023'!$B$1</f>
        <v>299567.5838415277</v>
      </c>
      <c r="P15" s="254">
        <f>+'EUS 2022'!P15*'EUS 2023'!$B$1</f>
        <v>1498562.1408221319</v>
      </c>
      <c r="Q15" s="276">
        <f>+'EUS 2022'!Q15*'EUS 2023'!$B$1</f>
        <v>149782.5704727789</v>
      </c>
      <c r="R15" s="245">
        <f t="shared" si="0"/>
        <v>12</v>
      </c>
      <c r="S15" s="222">
        <f t="shared" si="1"/>
        <v>1198849.7126577056</v>
      </c>
      <c r="T15" s="222"/>
    </row>
    <row r="16" spans="1:92" x14ac:dyDescent="0.25">
      <c r="A16" s="220"/>
      <c r="B16" s="251">
        <v>13</v>
      </c>
      <c r="C16" s="240">
        <f>+'EUS 2022'!C16*'EUS 2023'!$B$1</f>
        <v>396233.98315580346</v>
      </c>
      <c r="D16" s="240">
        <f>+'EUS 2022'!D16*'EUS 2023'!$B$1</f>
        <v>85190.726661447698</v>
      </c>
      <c r="E16" s="240">
        <f>+'EUS 2022'!E16*'EUS 2023'!$B$1</f>
        <v>233674.81100535937</v>
      </c>
      <c r="F16" s="240">
        <f>+'EUS 2022'!F16*'EUS 2023'!$B$1</f>
        <v>110944.66217196544</v>
      </c>
      <c r="G16" s="240">
        <f>+'EUS 2022'!G16*'EUS 2023'!$B$1</f>
        <v>45551.146379885438</v>
      </c>
      <c r="H16" s="240">
        <f>+'EUS 2022'!H16*'EUS 2023'!$B$1</f>
        <v>91025.626985605748</v>
      </c>
      <c r="I16" s="240">
        <f>+'EUS 2022'!I16*'EUS 2023'!$B$1</f>
        <v>17323.184992655359</v>
      </c>
      <c r="J16" s="240">
        <f>+'EUS 2022'!J16*'EUS 2023'!$B$1</f>
        <v>65688.27695307137</v>
      </c>
      <c r="K16" s="240">
        <f>+'EUS 2022'!K16*'EUS 2023'!$B$1</f>
        <v>0</v>
      </c>
      <c r="L16" s="240">
        <f>+'EUS 2022'!L16*'EUS 2023'!$B$1</f>
        <v>0</v>
      </c>
      <c r="M16" s="240">
        <f>+'EUS 2022'!M16*'EUS 2023'!$B$1</f>
        <v>0</v>
      </c>
      <c r="N16" s="240">
        <f>+'EUS 2022'!N16*'EUS 2023'!$B$1</f>
        <v>0</v>
      </c>
      <c r="O16" s="240">
        <f>+'EUS 2022'!O16*'EUS 2023'!$B$1</f>
        <v>0</v>
      </c>
      <c r="P16" s="254">
        <f>+'EUS 2022'!P16*'EUS 2023'!$B$1</f>
        <v>1045627.5967057938</v>
      </c>
      <c r="Q16" s="276">
        <f>+'EUS 2022'!Q16*'EUS 2023'!$B$1</f>
        <v>0</v>
      </c>
      <c r="R16" s="245">
        <f t="shared" si="0"/>
        <v>13</v>
      </c>
      <c r="S16" s="222">
        <f t="shared" si="1"/>
        <v>836502.07736463507</v>
      </c>
      <c r="T16" s="222"/>
    </row>
    <row r="17" spans="1:20" x14ac:dyDescent="0.25">
      <c r="A17" s="220"/>
      <c r="B17" s="251">
        <v>14</v>
      </c>
      <c r="C17" s="240">
        <f>+'EUS 2022'!C17*'EUS 2023'!$B$1</f>
        <v>366823.02701296896</v>
      </c>
      <c r="D17" s="240">
        <f>+'EUS 2022'!D17*'EUS 2023'!$B$1</f>
        <v>78865.15462111104</v>
      </c>
      <c r="E17" s="240">
        <f>+'EUS 2022'!E17*'EUS 2023'!$B$1</f>
        <v>176512.5660878944</v>
      </c>
      <c r="F17" s="240">
        <f>+'EUS 2022'!F17*'EUS 2023'!$B$1</f>
        <v>102710.88008138046</v>
      </c>
      <c r="G17" s="240">
        <f>+'EUS 2022'!G17*'EUS 2023'!$B$1</f>
        <v>34346.460072529924</v>
      </c>
      <c r="H17" s="240">
        <f>+'EUS 2022'!H17*'EUS 2023'!$B$1</f>
        <v>90296.850859022074</v>
      </c>
      <c r="I17" s="240">
        <f>+'EUS 2022'!I17*'EUS 2023'!$B$1</f>
        <v>12805.591500943361</v>
      </c>
      <c r="J17" s="240">
        <f>+'EUS 2022'!J17*'EUS 2023'!$B$1</f>
        <v>65688.27695307137</v>
      </c>
      <c r="K17" s="240">
        <f>+'EUS 2022'!K17*'EUS 2023'!$B$1</f>
        <v>0</v>
      </c>
      <c r="L17" s="240">
        <f>+'EUS 2022'!L17*'EUS 2023'!$B$1</f>
        <v>0</v>
      </c>
      <c r="M17" s="240">
        <f>+'EUS 2022'!M17*'EUS 2023'!$B$1</f>
        <v>0</v>
      </c>
      <c r="N17" s="240">
        <f>+'EUS 2022'!N17*'EUS 2023'!$B$1</f>
        <v>0</v>
      </c>
      <c r="O17" s="240">
        <f>+'EUS 2022'!O17*'EUS 2023'!$B$1</f>
        <v>0</v>
      </c>
      <c r="P17" s="254">
        <f>+'EUS 2022'!P17*'EUS 2023'!$B$1</f>
        <v>928047.48222892138</v>
      </c>
      <c r="Q17" s="276">
        <f>+'EUS 2022'!Q17*'EUS 2023'!$B$1</f>
        <v>0</v>
      </c>
      <c r="R17" s="245">
        <f t="shared" si="0"/>
        <v>14</v>
      </c>
      <c r="S17" s="222">
        <f t="shared" si="1"/>
        <v>742437.98578313715</v>
      </c>
    </row>
    <row r="18" spans="1:20" x14ac:dyDescent="0.25">
      <c r="A18" s="220"/>
      <c r="B18" s="251">
        <v>15</v>
      </c>
      <c r="C18" s="240">
        <f>+'EUS 2022'!C18*'EUS 2023'!$B$1</f>
        <v>339676.30927987013</v>
      </c>
      <c r="D18" s="240">
        <f>+'EUS 2022'!D18*'EUS 2023'!$B$1</f>
        <v>73028.867209043208</v>
      </c>
      <c r="E18" s="240">
        <f>+'EUS 2022'!E18*'EUS 2023'!$B$1</f>
        <v>141778.3757846893</v>
      </c>
      <c r="F18" s="240">
        <f>+'EUS 2022'!F18*'EUS 2023'!$B$1</f>
        <v>95109.404279635201</v>
      </c>
      <c r="G18" s="240">
        <f>+'EUS 2022'!G18*'EUS 2023'!$B$1</f>
        <v>26634.714097371518</v>
      </c>
      <c r="H18" s="240">
        <f>+'EUS 2022'!H18*'EUS 2023'!$B$1</f>
        <v>77759.804871611515</v>
      </c>
      <c r="I18" s="240">
        <f>+'EUS 2022'!I18*'EUS 2023'!$B$1</f>
        <v>10020.366591751043</v>
      </c>
      <c r="J18" s="240">
        <f>+'EUS 2022'!J18*'EUS 2023'!$B$1</f>
        <v>65688.27695307137</v>
      </c>
      <c r="K18" s="240">
        <f>+'EUS 2022'!K18*'EUS 2023'!$B$1</f>
        <v>0</v>
      </c>
      <c r="L18" s="240">
        <f>+'EUS 2022'!L18*'EUS 2023'!$B$1</f>
        <v>0</v>
      </c>
      <c r="M18" s="240">
        <f>+'EUS 2022'!M18*'EUS 2023'!$B$1</f>
        <v>0</v>
      </c>
      <c r="N18" s="240">
        <f>+'EUS 2022'!N18*'EUS 2023'!$B$1</f>
        <v>0</v>
      </c>
      <c r="O18" s="240">
        <f>+'EUS 2022'!O18*'EUS 2023'!$B$1</f>
        <v>0</v>
      </c>
      <c r="P18" s="254">
        <f>+'EUS 2022'!P18*'EUS 2023'!$B$1</f>
        <v>829694.9990670433</v>
      </c>
      <c r="Q18" s="276">
        <f>+'EUS 2022'!Q18*'EUS 2023'!$B$1</f>
        <v>0</v>
      </c>
      <c r="R18" s="245">
        <f t="shared" si="0"/>
        <v>15</v>
      </c>
      <c r="S18" s="222">
        <f t="shared" si="1"/>
        <v>663755.99925363471</v>
      </c>
    </row>
    <row r="19" spans="1:20" x14ac:dyDescent="0.25">
      <c r="A19" s="220"/>
      <c r="B19" s="251">
        <v>16</v>
      </c>
      <c r="C19" s="240">
        <f>+'EUS 2022'!C19*'EUS 2023'!$B$1</f>
        <v>314454.44855656836</v>
      </c>
      <c r="D19" s="240">
        <f>+'EUS 2022'!D19*'EUS 2023'!$B$1</f>
        <v>67607.844443018883</v>
      </c>
      <c r="E19" s="240">
        <f>+'EUS 2022'!E19*'EUS 2023'!$B$1</f>
        <v>139242.87774948095</v>
      </c>
      <c r="F19" s="240">
        <f>+'EUS 2022'!F19*'EUS 2023'!$B$1</f>
        <v>88047.396144955506</v>
      </c>
      <c r="G19" s="240">
        <f>+'EUS 2022'!G19*'EUS 2023'!$B$1</f>
        <v>25940.933586005758</v>
      </c>
      <c r="H19" s="240">
        <f>+'EUS 2022'!H19*'EUS 2023'!$B$1</f>
        <v>81923.877091745904</v>
      </c>
      <c r="I19" s="240">
        <f>+'EUS 2022'!I19*'EUS 2023'!$B$1</f>
        <v>9734.1866306092816</v>
      </c>
      <c r="J19" s="240">
        <f>+'EUS 2022'!J19*'EUS 2023'!$B$1</f>
        <v>65688.27695307137</v>
      </c>
      <c r="K19" s="240">
        <f>+'EUS 2022'!K19*'EUS 2023'!$B$1</f>
        <v>0</v>
      </c>
      <c r="L19" s="240">
        <f>+'EUS 2022'!L19*'EUS 2023'!$B$1</f>
        <v>0</v>
      </c>
      <c r="M19" s="240">
        <f>+'EUS 2022'!M19*'EUS 2023'!$B$1</f>
        <v>0</v>
      </c>
      <c r="N19" s="240">
        <f>+'EUS 2022'!N19*'EUS 2023'!$B$1</f>
        <v>0</v>
      </c>
      <c r="O19" s="240">
        <f>+'EUS 2022'!O19*'EUS 2023'!$B$1</f>
        <v>0</v>
      </c>
      <c r="P19" s="254">
        <f>+'EUS 2022'!P19*'EUS 2023'!$B$1</f>
        <v>792641.09779545595</v>
      </c>
      <c r="Q19" s="276">
        <f>+'EUS 2022'!Q19*'EUS 2023'!$B$1</f>
        <v>0</v>
      </c>
      <c r="R19" s="245">
        <f>+R20-1</f>
        <v>16</v>
      </c>
      <c r="S19" s="222">
        <f t="shared" si="1"/>
        <v>634112.87823636481</v>
      </c>
      <c r="T19" s="222"/>
    </row>
    <row r="20" spans="1:20" x14ac:dyDescent="0.25">
      <c r="A20" s="220"/>
      <c r="B20" s="251">
        <v>17</v>
      </c>
      <c r="C20" s="240">
        <f>+'EUS 2022'!C20*'EUS 2023'!$B$1</f>
        <v>291170.83938679297</v>
      </c>
      <c r="D20" s="240">
        <f>+'EUS 2022'!D20*'EUS 2023'!$B$1</f>
        <v>62600.83174706815</v>
      </c>
      <c r="E20" s="240">
        <f>+'EUS 2022'!E20*'EUS 2023'!$B$1</f>
        <v>107657.67313077505</v>
      </c>
      <c r="F20" s="240">
        <f>+'EUS 2022'!F20*'EUS 2023'!$B$1</f>
        <v>81527.364829281258</v>
      </c>
      <c r="G20" s="240">
        <f>+'EUS 2022'!G20*'EUS 2023'!$B$1</f>
        <v>18695.556527777921</v>
      </c>
      <c r="H20" s="240">
        <f>+'EUS 2022'!H20*'EUS 2023'!$B$1</f>
        <v>76215.624748609916</v>
      </c>
      <c r="I20" s="240">
        <f>+'EUS 2022'!I20*'EUS 2023'!$B$1</f>
        <v>6979.3406966348794</v>
      </c>
      <c r="J20" s="240">
        <f>+'EUS 2022'!J20*'EUS 2023'!$B$1</f>
        <v>65688.27695307137</v>
      </c>
      <c r="K20" s="240">
        <f>+'EUS 2022'!K20*'EUS 2023'!$B$1</f>
        <v>0</v>
      </c>
      <c r="L20" s="240">
        <f>+'EUS 2022'!L20*'EUS 2023'!$B$1</f>
        <v>0</v>
      </c>
      <c r="M20" s="240">
        <f>+'EUS 2022'!M20*'EUS 2023'!$B$1</f>
        <v>0</v>
      </c>
      <c r="N20" s="240">
        <f>+'EUS 2022'!N20*'EUS 2023'!$B$1</f>
        <v>0</v>
      </c>
      <c r="O20" s="240">
        <f>+'EUS 2022'!O20*'EUS 2023'!$B$1</f>
        <v>0</v>
      </c>
      <c r="P20" s="254">
        <f>+'EUS 2022'!P20*'EUS 2023'!$B$1</f>
        <v>710536.62802001159</v>
      </c>
      <c r="Q20" s="276">
        <f>+'EUS 2022'!Q20*'EUS 2023'!$B$1</f>
        <v>0</v>
      </c>
      <c r="R20" s="245">
        <v>17</v>
      </c>
      <c r="S20" s="222">
        <f t="shared" si="1"/>
        <v>568429.30241600925</v>
      </c>
      <c r="T20" s="266"/>
    </row>
    <row r="21" spans="1:20" x14ac:dyDescent="0.25">
      <c r="A21" s="220"/>
      <c r="B21" s="251">
        <v>18</v>
      </c>
      <c r="C21" s="240">
        <f>+'EUS 2022'!C21*'EUS 2023'!$B$1</f>
        <v>0</v>
      </c>
      <c r="D21" s="240">
        <f>+'EUS 2022'!D21*'EUS 2023'!$B$1</f>
        <v>0</v>
      </c>
      <c r="E21" s="240">
        <f>+'EUS 2022'!E21*'EUS 2023'!$B$1</f>
        <v>0</v>
      </c>
      <c r="F21" s="240">
        <f>+'EUS 2022'!F21*'EUS 2023'!$B$1</f>
        <v>0</v>
      </c>
      <c r="G21" s="240">
        <f>+'EUS 2022'!G21*'EUS 2023'!$B$1</f>
        <v>0</v>
      </c>
      <c r="H21" s="240">
        <f>+'EUS 2022'!H21*'EUS 2023'!$B$1</f>
        <v>0</v>
      </c>
      <c r="I21" s="240">
        <f>+'EUS 2022'!I21*'EUS 2023'!$B$1</f>
        <v>0</v>
      </c>
      <c r="J21" s="240">
        <f>+'EUS 2022'!J21*'EUS 2023'!$B$1</f>
        <v>0</v>
      </c>
      <c r="K21" s="240">
        <f>+'EUS 2022'!K21*'EUS 2023'!$B$1</f>
        <v>0</v>
      </c>
      <c r="L21" s="240">
        <f>+'EUS 2022'!L21*'EUS 2023'!$B$1</f>
        <v>0</v>
      </c>
      <c r="M21" s="240">
        <f>+'EUS 2022'!M21*'EUS 2023'!$B$1</f>
        <v>0</v>
      </c>
      <c r="N21" s="240">
        <f>+'EUS 2022'!N21*'EUS 2023'!$B$1</f>
        <v>0</v>
      </c>
      <c r="O21" s="240">
        <f>+'EUS 2022'!O21*'EUS 2023'!$B$1</f>
        <v>0</v>
      </c>
      <c r="P21" s="254">
        <f>+'EUS 2022'!P21*'EUS 2023'!$B$1</f>
        <v>0</v>
      </c>
      <c r="Q21" s="276">
        <f>+'EUS 2022'!Q21*'EUS 2023'!$B$1</f>
        <v>0</v>
      </c>
      <c r="R21" s="245"/>
      <c r="S21" s="265"/>
      <c r="T21" s="265"/>
    </row>
    <row r="22" spans="1:20" x14ac:dyDescent="0.25">
      <c r="A22" s="220"/>
      <c r="B22" s="251">
        <v>19</v>
      </c>
      <c r="C22" s="240">
        <f>+'EUS 2022'!C22*'EUS 2023'!$B$1</f>
        <v>0</v>
      </c>
      <c r="D22" s="240">
        <f>+'EUS 2022'!D22*'EUS 2023'!$B$1</f>
        <v>0</v>
      </c>
      <c r="E22" s="240">
        <f>+'EUS 2022'!E22*'EUS 2023'!$B$1</f>
        <v>0</v>
      </c>
      <c r="F22" s="240">
        <f>+'EUS 2022'!F22*'EUS 2023'!$B$1</f>
        <v>0</v>
      </c>
      <c r="G22" s="240">
        <f>+'EUS 2022'!G22*'EUS 2023'!$B$1</f>
        <v>0</v>
      </c>
      <c r="H22" s="240">
        <f>+'EUS 2022'!H22*'EUS 2023'!$B$1</f>
        <v>0</v>
      </c>
      <c r="I22" s="240">
        <f>+'EUS 2022'!I22*'EUS 2023'!$B$1</f>
        <v>0</v>
      </c>
      <c r="J22" s="240">
        <f>+'EUS 2022'!J22*'EUS 2023'!$B$1</f>
        <v>0</v>
      </c>
      <c r="K22" s="240">
        <f>+'EUS 2022'!K22*'EUS 2023'!$B$1</f>
        <v>0</v>
      </c>
      <c r="L22" s="240">
        <f>+'EUS 2022'!L22*'EUS 2023'!$B$1</f>
        <v>0</v>
      </c>
      <c r="M22" s="240">
        <f>+'EUS 2022'!M22*'EUS 2023'!$B$1</f>
        <v>0</v>
      </c>
      <c r="N22" s="240">
        <f>+'EUS 2022'!N22*'EUS 2023'!$B$1</f>
        <v>0</v>
      </c>
      <c r="O22" s="240">
        <f>+'EUS 2022'!O22*'EUS 2023'!$B$1</f>
        <v>0</v>
      </c>
      <c r="P22" s="254">
        <f>+'EUS 2022'!P22*'EUS 2023'!$B$1</f>
        <v>0</v>
      </c>
      <c r="Q22" s="276">
        <f>+'EUS 2022'!Q22*'EUS 2023'!$B$1</f>
        <v>0</v>
      </c>
      <c r="R22" s="245"/>
      <c r="S22" s="265"/>
      <c r="T22" s="265"/>
    </row>
    <row r="23" spans="1:20" x14ac:dyDescent="0.25">
      <c r="A23" s="220"/>
      <c r="B23" s="251">
        <v>20</v>
      </c>
      <c r="C23" s="240">
        <f>+'EUS 2022'!C23*'EUS 2023'!$B$1</f>
        <v>0</v>
      </c>
      <c r="D23" s="240">
        <f>+'EUS 2022'!D23*'EUS 2023'!$B$1</f>
        <v>0</v>
      </c>
      <c r="E23" s="240">
        <f>+'EUS 2022'!E23*'EUS 2023'!$B$1</f>
        <v>0</v>
      </c>
      <c r="F23" s="240">
        <f>+'EUS 2022'!F23*'EUS 2023'!$B$1</f>
        <v>0</v>
      </c>
      <c r="G23" s="240">
        <f>+'EUS 2022'!G23*'EUS 2023'!$B$1</f>
        <v>0</v>
      </c>
      <c r="H23" s="240">
        <f>+'EUS 2022'!H23*'EUS 2023'!$B$1</f>
        <v>0</v>
      </c>
      <c r="I23" s="240">
        <f>+'EUS 2022'!I23*'EUS 2023'!$B$1</f>
        <v>0</v>
      </c>
      <c r="J23" s="240">
        <f>+'EUS 2022'!J23*'EUS 2023'!$B$1</f>
        <v>0</v>
      </c>
      <c r="K23" s="240">
        <f>+'EUS 2022'!K23*'EUS 2023'!$B$1</f>
        <v>0</v>
      </c>
      <c r="L23" s="240">
        <f>+'EUS 2022'!L23*'EUS 2023'!$B$1</f>
        <v>0</v>
      </c>
      <c r="M23" s="240">
        <f>+'EUS 2022'!M23*'EUS 2023'!$B$1</f>
        <v>0</v>
      </c>
      <c r="N23" s="240">
        <f>+'EUS 2022'!N23*'EUS 2023'!$B$1</f>
        <v>0</v>
      </c>
      <c r="O23" s="240">
        <f>+'EUS 2022'!O23*'EUS 2023'!$B$1</f>
        <v>0</v>
      </c>
      <c r="P23" s="254">
        <f>+'EUS 2022'!P23*'EUS 2023'!$B$1</f>
        <v>0</v>
      </c>
      <c r="Q23" s="276">
        <f>+'EUS 2022'!Q23*'EUS 2023'!$B$1</f>
        <v>0</v>
      </c>
      <c r="R23" s="245"/>
      <c r="S23" s="267"/>
      <c r="T23" s="265"/>
    </row>
    <row r="24" spans="1:20" x14ac:dyDescent="0.25">
      <c r="S24" s="265"/>
      <c r="T24" s="266"/>
    </row>
    <row r="25" spans="1:20" x14ac:dyDescent="0.25">
      <c r="C25" s="222"/>
    </row>
    <row r="26" spans="1:20" x14ac:dyDescent="0.25">
      <c r="P26" s="222"/>
    </row>
    <row r="27" spans="1:20" x14ac:dyDescent="0.25">
      <c r="Q27" s="222"/>
    </row>
    <row r="28" spans="1:20" ht="13.5" thickBot="1" x14ac:dyDescent="0.3"/>
    <row r="29" spans="1:20" ht="13.5" thickBot="1" x14ac:dyDescent="0.3">
      <c r="A29" s="347" t="s">
        <v>90</v>
      </c>
      <c r="B29" s="348"/>
      <c r="C29" s="348"/>
      <c r="D29" s="348"/>
      <c r="E29" s="348"/>
      <c r="F29" s="349"/>
      <c r="H29" s="347" t="s">
        <v>14</v>
      </c>
      <c r="I29" s="348"/>
      <c r="J29" s="348"/>
      <c r="K29" s="348"/>
      <c r="L29" s="348"/>
      <c r="M29" s="348"/>
      <c r="N29" s="348"/>
      <c r="O29" s="348"/>
      <c r="P29" s="348"/>
      <c r="Q29" s="348"/>
      <c r="R29" s="349"/>
    </row>
    <row r="30" spans="1:20" ht="13.5" thickBot="1" x14ac:dyDescent="0.3">
      <c r="O30" s="269" t="s">
        <v>81</v>
      </c>
      <c r="P30" s="271" t="s">
        <v>82</v>
      </c>
      <c r="Q30" s="270" t="s">
        <v>83</v>
      </c>
    </row>
    <row r="31" spans="1:20" x14ac:dyDescent="0.25">
      <c r="A31" s="344" t="s">
        <v>15</v>
      </c>
      <c r="B31" s="344" t="s">
        <v>16</v>
      </c>
      <c r="C31" s="344" t="s">
        <v>67</v>
      </c>
      <c r="D31" s="337" t="s">
        <v>18</v>
      </c>
      <c r="E31" s="338"/>
      <c r="F31" s="339"/>
      <c r="G31" s="223"/>
      <c r="H31" s="344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50"/>
      <c r="P31" s="350"/>
      <c r="Q31" s="350"/>
      <c r="R31" s="339"/>
    </row>
    <row r="32" spans="1:20" x14ac:dyDescent="0.25">
      <c r="A32" s="345"/>
      <c r="B32" s="345"/>
      <c r="C32" s="345"/>
      <c r="D32" s="224" t="s">
        <v>23</v>
      </c>
      <c r="E32" s="224">
        <v>0.25</v>
      </c>
      <c r="F32" s="225">
        <v>0.5</v>
      </c>
      <c r="G32" s="223"/>
      <c r="H32" s="345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64">
        <v>0.30599999999999999</v>
      </c>
      <c r="S32" s="262"/>
    </row>
    <row r="33" spans="1:19" x14ac:dyDescent="0.25">
      <c r="A33" s="224">
        <v>1</v>
      </c>
      <c r="B33" s="245">
        <f>VLOOKUP(A33,B3:C23,2,0)</f>
        <v>768224.59087592573</v>
      </c>
      <c r="C33" s="245">
        <f>VLOOKUP(A33,B3:E23,4,0)</f>
        <v>2853289.1582076955</v>
      </c>
      <c r="D33" s="245">
        <f>ROUND((B33+C33)/190,0)</f>
        <v>19061</v>
      </c>
      <c r="E33" s="246">
        <f>ROUND(D33*1.25,0)</f>
        <v>23826</v>
      </c>
      <c r="F33" s="246">
        <f>ROUND(D33*1.5,0)</f>
        <v>28592</v>
      </c>
      <c r="H33" s="224">
        <v>1</v>
      </c>
      <c r="I33" s="245">
        <f t="shared" ref="I33:I50" si="2">VLOOKUP(H33,B4:C23,2,0)</f>
        <v>768224.59087592573</v>
      </c>
      <c r="J33" s="245">
        <f t="shared" ref="J33:J52" si="3">VLOOKUP(H33,B4:E23,4,0)</f>
        <v>2853289.1582076955</v>
      </c>
      <c r="K33" s="245">
        <f>VLOOKUP(H33,B4:H23,7,0)</f>
        <v>23748.813807526083</v>
      </c>
      <c r="L33" s="245">
        <f>VLOOKUP(H33,B4:J23,9,0)</f>
        <v>0</v>
      </c>
      <c r="M33" s="241">
        <f>SUM(I33:L33)</f>
        <v>3645262.5628911476</v>
      </c>
      <c r="N33" s="247">
        <f>ROUND(M33*0.306,0)</f>
        <v>1115450</v>
      </c>
      <c r="O33" s="248">
        <f>ROUND($M33*$O$32*3,0)</f>
        <v>1640368</v>
      </c>
      <c r="P33" s="248">
        <f>ROUND($M33*$P$32*3,0)</f>
        <v>831120</v>
      </c>
      <c r="Q33" s="248">
        <f>ROUND($M33*$Q$32*3,0)</f>
        <v>874863</v>
      </c>
      <c r="R33" s="249">
        <f>SUM(O33:Q33)</f>
        <v>3346351</v>
      </c>
      <c r="S33" s="245">
        <f t="shared" ref="S33:S47" si="4">+S34-1</f>
        <v>1</v>
      </c>
    </row>
    <row r="34" spans="1:19" x14ac:dyDescent="0.25">
      <c r="A34" s="224">
        <v>2</v>
      </c>
      <c r="B34" s="245">
        <f>VLOOKUP(A34,B4:C24,2,0)</f>
        <v>725080.47316480579</v>
      </c>
      <c r="C34" s="245">
        <f>VLOOKUP(A34,B4:E24,4,0)</f>
        <v>2729767.2188979629</v>
      </c>
      <c r="D34" s="245">
        <f t="shared" ref="D34:D52" si="5">ROUND((B34+C34)/190,0)</f>
        <v>18183</v>
      </c>
      <c r="E34" s="246">
        <f t="shared" ref="E34:E52" si="6">ROUND(D34*1.25,0)</f>
        <v>22729</v>
      </c>
      <c r="F34" s="246">
        <f t="shared" ref="F34:F52" si="7">ROUND(D34*1.5,0)</f>
        <v>27275</v>
      </c>
      <c r="H34" s="224">
        <v>2</v>
      </c>
      <c r="I34" s="245">
        <f t="shared" si="2"/>
        <v>725080.47316480579</v>
      </c>
      <c r="J34" s="245">
        <f t="shared" si="3"/>
        <v>2729767.2188979629</v>
      </c>
      <c r="K34" s="245">
        <f>VLOOKUP(H34,B5:H24,7,0)</f>
        <v>23748.813807526083</v>
      </c>
      <c r="L34" s="245">
        <f t="shared" ref="L34:L52" si="8">VLOOKUP(H34,B5:J24,9,0)</f>
        <v>0</v>
      </c>
      <c r="M34" s="241">
        <f t="shared" ref="M34:M52" si="9">SUM(I34:L34)</f>
        <v>3478596.5058702948</v>
      </c>
      <c r="N34" s="247">
        <f t="shared" ref="N34:N52" si="10">ROUND(M34*0.306,0)</f>
        <v>1064451</v>
      </c>
      <c r="O34" s="248">
        <f t="shared" ref="O34:O52" si="11">ROUND($M34*$O$32*3,0)</f>
        <v>1565368</v>
      </c>
      <c r="P34" s="248">
        <f t="shared" ref="P34:P52" si="12">ROUND($M34*$P$32*3,0)</f>
        <v>793120</v>
      </c>
      <c r="Q34" s="248">
        <f t="shared" ref="Q34:Q52" si="13">ROUND($M34*$Q$32*3,0)</f>
        <v>834863</v>
      </c>
      <c r="R34" s="249">
        <f t="shared" ref="R34:R52" si="14">SUM(O34:Q34)</f>
        <v>3193351</v>
      </c>
      <c r="S34" s="245">
        <f t="shared" si="4"/>
        <v>2</v>
      </c>
    </row>
    <row r="35" spans="1:19" x14ac:dyDescent="0.25">
      <c r="A35" s="224">
        <v>3</v>
      </c>
      <c r="B35" s="245">
        <f>VLOOKUP(A35,B4:C24,2,0)</f>
        <v>765565.04274775274</v>
      </c>
      <c r="C35" s="245">
        <f>VLOOKUP(A35,B4:E24,4,0)</f>
        <v>2250969.3353092982</v>
      </c>
      <c r="D35" s="245">
        <f t="shared" si="5"/>
        <v>15876</v>
      </c>
      <c r="E35" s="246">
        <f t="shared" si="6"/>
        <v>19845</v>
      </c>
      <c r="F35" s="246">
        <f t="shared" si="7"/>
        <v>23814</v>
      </c>
      <c r="H35" s="224">
        <v>3</v>
      </c>
      <c r="I35" s="245">
        <f t="shared" si="2"/>
        <v>765565.04274775274</v>
      </c>
      <c r="J35" s="245">
        <f t="shared" si="3"/>
        <v>2250969.3353092982</v>
      </c>
      <c r="K35" s="245">
        <f t="shared" ref="K35:K52" si="15">VLOOKUP(H35,B6:H25,7,0)</f>
        <v>23748.813807526083</v>
      </c>
      <c r="L35" s="245">
        <f t="shared" si="8"/>
        <v>32576.521605305919</v>
      </c>
      <c r="M35" s="241">
        <f t="shared" si="9"/>
        <v>3072859.713469883</v>
      </c>
      <c r="N35" s="247">
        <f t="shared" si="10"/>
        <v>940295</v>
      </c>
      <c r="O35" s="248">
        <f t="shared" si="11"/>
        <v>1382787</v>
      </c>
      <c r="P35" s="248">
        <f t="shared" si="12"/>
        <v>700612</v>
      </c>
      <c r="Q35" s="248">
        <f t="shared" si="13"/>
        <v>737486</v>
      </c>
      <c r="R35" s="249">
        <f t="shared" si="14"/>
        <v>2820885</v>
      </c>
      <c r="S35" s="245">
        <f t="shared" si="4"/>
        <v>3</v>
      </c>
    </row>
    <row r="36" spans="1:19" x14ac:dyDescent="0.25">
      <c r="A36" s="224">
        <v>4</v>
      </c>
      <c r="B36" s="245">
        <f>VLOOKUP(A36,B4:C24,2,0)</f>
        <v>722251.79806444189</v>
      </c>
      <c r="C36" s="245">
        <f>VLOOKUP(A36,B4:E24,4,0)</f>
        <v>2183931.0101269064</v>
      </c>
      <c r="D36" s="245">
        <f t="shared" si="5"/>
        <v>15296</v>
      </c>
      <c r="E36" s="246">
        <f t="shared" si="6"/>
        <v>19120</v>
      </c>
      <c r="F36" s="246">
        <f t="shared" si="7"/>
        <v>22944</v>
      </c>
      <c r="H36" s="224">
        <v>4</v>
      </c>
      <c r="I36" s="245">
        <f t="shared" si="2"/>
        <v>722251.79806444189</v>
      </c>
      <c r="J36" s="245">
        <f t="shared" si="3"/>
        <v>2183931.0101269064</v>
      </c>
      <c r="K36" s="245">
        <f>VLOOKUP(H36,B7:H26,7,0)</f>
        <v>23748.813807526083</v>
      </c>
      <c r="L36" s="245">
        <f t="shared" si="8"/>
        <v>32576.521605305919</v>
      </c>
      <c r="M36" s="241">
        <f t="shared" si="9"/>
        <v>2962508.1436041803</v>
      </c>
      <c r="N36" s="247">
        <f t="shared" si="10"/>
        <v>906527</v>
      </c>
      <c r="O36" s="248">
        <f t="shared" si="11"/>
        <v>1333129</v>
      </c>
      <c r="P36" s="248">
        <f t="shared" si="12"/>
        <v>675452</v>
      </c>
      <c r="Q36" s="248">
        <f t="shared" si="13"/>
        <v>711002</v>
      </c>
      <c r="R36" s="249">
        <f t="shared" si="14"/>
        <v>2719583</v>
      </c>
      <c r="S36" s="245">
        <f t="shared" si="4"/>
        <v>4</v>
      </c>
    </row>
    <row r="37" spans="1:19" x14ac:dyDescent="0.25">
      <c r="A37" s="224">
        <v>5</v>
      </c>
      <c r="B37" s="245">
        <f>VLOOKUP(A37,B4:C24,2,0)</f>
        <v>681393.93206174858</v>
      </c>
      <c r="C37" s="245">
        <f>VLOOKUP(A37,B4:E24,4,0)</f>
        <v>1877036.9527854929</v>
      </c>
      <c r="D37" s="245">
        <f t="shared" si="5"/>
        <v>13465</v>
      </c>
      <c r="E37" s="246">
        <f t="shared" si="6"/>
        <v>16831</v>
      </c>
      <c r="F37" s="246">
        <f t="shared" si="7"/>
        <v>20198</v>
      </c>
      <c r="H37" s="224">
        <v>5</v>
      </c>
      <c r="I37" s="245">
        <f t="shared" si="2"/>
        <v>681393.93206174858</v>
      </c>
      <c r="J37" s="245">
        <f t="shared" si="3"/>
        <v>1877036.9527854929</v>
      </c>
      <c r="K37" s="245">
        <f>VLOOKUP(H37,B8:H27,7,0)</f>
        <v>23748.813807526083</v>
      </c>
      <c r="L37" s="245">
        <f t="shared" si="8"/>
        <v>32576.521605305919</v>
      </c>
      <c r="M37" s="241">
        <f t="shared" si="9"/>
        <v>2614756.2202600734</v>
      </c>
      <c r="N37" s="247">
        <f t="shared" si="10"/>
        <v>800115</v>
      </c>
      <c r="O37" s="248">
        <f t="shared" si="11"/>
        <v>1176640</v>
      </c>
      <c r="P37" s="248">
        <f t="shared" si="12"/>
        <v>596164</v>
      </c>
      <c r="Q37" s="248">
        <f t="shared" si="13"/>
        <v>627541</v>
      </c>
      <c r="R37" s="249">
        <f t="shared" si="14"/>
        <v>2400345</v>
      </c>
      <c r="S37" s="245">
        <f t="shared" si="4"/>
        <v>5</v>
      </c>
    </row>
    <row r="38" spans="1:19" x14ac:dyDescent="0.25">
      <c r="A38" s="224">
        <v>6</v>
      </c>
      <c r="B38" s="245">
        <f>VLOOKUP(A38,B4:C24,2,0)</f>
        <v>642773.59237136529</v>
      </c>
      <c r="C38" s="245">
        <f>VLOOKUP(A38,B4:E24,4,0)</f>
        <v>1586244.702692251</v>
      </c>
      <c r="D38" s="245">
        <f t="shared" si="5"/>
        <v>11732</v>
      </c>
      <c r="E38" s="246">
        <f t="shared" si="6"/>
        <v>14665</v>
      </c>
      <c r="F38" s="246">
        <f t="shared" si="7"/>
        <v>17598</v>
      </c>
      <c r="H38" s="224">
        <v>6</v>
      </c>
      <c r="I38" s="245">
        <f t="shared" si="2"/>
        <v>642773.59237136529</v>
      </c>
      <c r="J38" s="245">
        <f t="shared" si="3"/>
        <v>1586244.702692251</v>
      </c>
      <c r="K38" s="245">
        <f t="shared" si="15"/>
        <v>23747.657317526078</v>
      </c>
      <c r="L38" s="245">
        <f t="shared" si="8"/>
        <v>37532.726459999998</v>
      </c>
      <c r="M38" s="241">
        <f t="shared" si="9"/>
        <v>2290298.6788411424</v>
      </c>
      <c r="N38" s="247">
        <f t="shared" si="10"/>
        <v>700831</v>
      </c>
      <c r="O38" s="248">
        <f t="shared" si="11"/>
        <v>1030634</v>
      </c>
      <c r="P38" s="248">
        <f t="shared" si="12"/>
        <v>522188</v>
      </c>
      <c r="Q38" s="248">
        <f t="shared" si="13"/>
        <v>549672</v>
      </c>
      <c r="R38" s="249">
        <f t="shared" si="14"/>
        <v>2102494</v>
      </c>
      <c r="S38" s="245">
        <f t="shared" si="4"/>
        <v>6</v>
      </c>
    </row>
    <row r="39" spans="1:19" x14ac:dyDescent="0.25">
      <c r="A39" s="224">
        <v>7</v>
      </c>
      <c r="B39" s="245">
        <f>VLOOKUP(A39,B4:C24,2,0)</f>
        <v>600659.43216985604</v>
      </c>
      <c r="C39" s="245">
        <f>VLOOKUP(A39,B4:E24,4,0)</f>
        <v>1205987.630334601</v>
      </c>
      <c r="D39" s="245">
        <f t="shared" si="5"/>
        <v>9509</v>
      </c>
      <c r="E39" s="246">
        <f t="shared" si="6"/>
        <v>11886</v>
      </c>
      <c r="F39" s="246">
        <f t="shared" si="7"/>
        <v>14264</v>
      </c>
      <c r="H39" s="224">
        <v>7</v>
      </c>
      <c r="I39" s="245">
        <f t="shared" si="2"/>
        <v>600659.43216985604</v>
      </c>
      <c r="J39" s="245">
        <f t="shared" si="3"/>
        <v>1205987.630334601</v>
      </c>
      <c r="K39" s="245">
        <f>VLOOKUP(H39,B10:H29,7,0)</f>
        <v>24076.706700332164</v>
      </c>
      <c r="L39" s="245">
        <f t="shared" si="8"/>
        <v>37979.144330641924</v>
      </c>
      <c r="M39" s="241">
        <f t="shared" si="9"/>
        <v>1868702.9135354313</v>
      </c>
      <c r="N39" s="247">
        <f>ROUND(M39*0.306,0)</f>
        <v>571823</v>
      </c>
      <c r="O39" s="248">
        <f t="shared" si="11"/>
        <v>840916</v>
      </c>
      <c r="P39" s="248">
        <f t="shared" si="12"/>
        <v>426064</v>
      </c>
      <c r="Q39" s="248">
        <f t="shared" si="13"/>
        <v>448489</v>
      </c>
      <c r="R39" s="249">
        <f t="shared" si="14"/>
        <v>1715469</v>
      </c>
      <c r="S39" s="245">
        <f t="shared" si="4"/>
        <v>7</v>
      </c>
    </row>
    <row r="40" spans="1:19" x14ac:dyDescent="0.25">
      <c r="A40" s="224">
        <v>8</v>
      </c>
      <c r="B40" s="245">
        <f>VLOOKUP(A40,B4:C24,2,0)</f>
        <v>566601.41483977705</v>
      </c>
      <c r="C40" s="245">
        <f>VLOOKUP(A40,B4:E24,4,0)</f>
        <v>943402.84585721255</v>
      </c>
      <c r="D40" s="245">
        <f t="shared" si="5"/>
        <v>7947</v>
      </c>
      <c r="E40" s="246">
        <f t="shared" si="6"/>
        <v>9934</v>
      </c>
      <c r="F40" s="246">
        <f t="shared" si="7"/>
        <v>11921</v>
      </c>
      <c r="H40" s="224">
        <v>8</v>
      </c>
      <c r="I40" s="245">
        <f t="shared" si="2"/>
        <v>566601.41483977705</v>
      </c>
      <c r="J40" s="245">
        <f t="shared" si="3"/>
        <v>943402.84585721255</v>
      </c>
      <c r="K40" s="245">
        <f t="shared" si="15"/>
        <v>24530.533513136037</v>
      </c>
      <c r="L40" s="245">
        <f t="shared" si="8"/>
        <v>38695.021059096478</v>
      </c>
      <c r="M40" s="241">
        <f t="shared" si="9"/>
        <v>1573229.815269222</v>
      </c>
      <c r="N40" s="247">
        <f>ROUND(M40*0.306,0)</f>
        <v>481408</v>
      </c>
      <c r="O40" s="248">
        <f>ROUND($M40*$O$32*3,0)</f>
        <v>707953</v>
      </c>
      <c r="P40" s="248">
        <f t="shared" si="12"/>
        <v>358696</v>
      </c>
      <c r="Q40" s="248">
        <f t="shared" si="13"/>
        <v>377575</v>
      </c>
      <c r="R40" s="249">
        <f>SUM(O40:Q40)</f>
        <v>1444224</v>
      </c>
      <c r="S40" s="245">
        <f t="shared" si="4"/>
        <v>8</v>
      </c>
    </row>
    <row r="41" spans="1:19" x14ac:dyDescent="0.25">
      <c r="A41" s="224">
        <v>9</v>
      </c>
      <c r="B41" s="245">
        <f>VLOOKUP(A41,B4:C24,2,0)</f>
        <v>539016.15429239883</v>
      </c>
      <c r="C41" s="245">
        <f>VLOOKUP(A41,B4:E24,4,0)</f>
        <v>744842.94166150398</v>
      </c>
      <c r="D41" s="245">
        <f t="shared" si="5"/>
        <v>6757</v>
      </c>
      <c r="E41" s="246">
        <f t="shared" si="6"/>
        <v>8446</v>
      </c>
      <c r="F41" s="246">
        <f t="shared" si="7"/>
        <v>10136</v>
      </c>
      <c r="G41" s="222"/>
      <c r="H41" s="224">
        <v>9</v>
      </c>
      <c r="I41" s="245">
        <f t="shared" si="2"/>
        <v>539016.15429239883</v>
      </c>
      <c r="J41" s="245">
        <f t="shared" si="3"/>
        <v>744842.94166150398</v>
      </c>
      <c r="K41" s="245">
        <f>VLOOKUP(H41,B12:H31,7,0)</f>
        <v>25206.874131662717</v>
      </c>
      <c r="L41" s="245">
        <f t="shared" si="8"/>
        <v>39760.021638704638</v>
      </c>
      <c r="M41" s="241">
        <f t="shared" si="9"/>
        <v>1348825.9917242702</v>
      </c>
      <c r="N41" s="247">
        <f t="shared" si="10"/>
        <v>412741</v>
      </c>
      <c r="O41" s="248">
        <f t="shared" si="11"/>
        <v>606972</v>
      </c>
      <c r="P41" s="248">
        <f t="shared" si="12"/>
        <v>307532</v>
      </c>
      <c r="Q41" s="248">
        <f t="shared" si="13"/>
        <v>323718</v>
      </c>
      <c r="R41" s="249">
        <f>SUM(O41:Q41)</f>
        <v>1238222</v>
      </c>
      <c r="S41" s="245">
        <f t="shared" si="4"/>
        <v>9</v>
      </c>
    </row>
    <row r="42" spans="1:19" x14ac:dyDescent="0.25">
      <c r="A42" s="224">
        <v>10</v>
      </c>
      <c r="B42" s="245">
        <f>VLOOKUP(A42,B4:C24,2,0)</f>
        <v>499126.71049685247</v>
      </c>
      <c r="C42" s="245">
        <f>VLOOKUP(A42,B4:E24,4,0)</f>
        <v>563018.50091696833</v>
      </c>
      <c r="D42" s="245">
        <f t="shared" si="5"/>
        <v>5590</v>
      </c>
      <c r="E42" s="246">
        <f t="shared" si="6"/>
        <v>6988</v>
      </c>
      <c r="F42" s="246">
        <f t="shared" si="7"/>
        <v>8385</v>
      </c>
      <c r="H42" s="224">
        <v>10</v>
      </c>
      <c r="I42" s="245">
        <f t="shared" si="2"/>
        <v>499126.71049685247</v>
      </c>
      <c r="J42" s="245">
        <f t="shared" si="3"/>
        <v>563018.50091696833</v>
      </c>
      <c r="K42" s="245">
        <f>VLOOKUP(H42,B13:H32,7,0)</f>
        <v>25206.874131662717</v>
      </c>
      <c r="L42" s="245">
        <f t="shared" si="8"/>
        <v>39760.021638704638</v>
      </c>
      <c r="M42" s="241">
        <f t="shared" si="9"/>
        <v>1127112.1071841882</v>
      </c>
      <c r="N42" s="247">
        <f t="shared" si="10"/>
        <v>344896</v>
      </c>
      <c r="O42" s="248">
        <f t="shared" si="11"/>
        <v>507200</v>
      </c>
      <c r="P42" s="248">
        <f t="shared" si="12"/>
        <v>256982</v>
      </c>
      <c r="Q42" s="248">
        <f t="shared" si="13"/>
        <v>270507</v>
      </c>
      <c r="R42" s="249">
        <f t="shared" si="14"/>
        <v>1034689</v>
      </c>
      <c r="S42" s="245">
        <f t="shared" si="4"/>
        <v>10</v>
      </c>
    </row>
    <row r="43" spans="1:19" x14ac:dyDescent="0.25">
      <c r="A43" s="224">
        <v>11</v>
      </c>
      <c r="B43" s="245">
        <f>VLOOKUP(A43,B4:C24,2,0)</f>
        <v>462184.60106255807</v>
      </c>
      <c r="C43" s="245">
        <f>VLOOKUP(A43,B4:E24,4,0)</f>
        <v>425422.94767196226</v>
      </c>
      <c r="D43" s="245">
        <f t="shared" si="5"/>
        <v>4672</v>
      </c>
      <c r="E43" s="246">
        <f t="shared" si="6"/>
        <v>5840</v>
      </c>
      <c r="F43" s="246">
        <f t="shared" si="7"/>
        <v>7008</v>
      </c>
      <c r="H43" s="224">
        <v>11</v>
      </c>
      <c r="I43" s="245">
        <f t="shared" si="2"/>
        <v>462184.60106255807</v>
      </c>
      <c r="J43" s="245">
        <f t="shared" si="3"/>
        <v>425422.94767196226</v>
      </c>
      <c r="K43" s="245">
        <f>VLOOKUP(H43,B14:H33,7,0)</f>
        <v>25206.874131662717</v>
      </c>
      <c r="L43" s="245">
        <f t="shared" si="8"/>
        <v>39760.021638704638</v>
      </c>
      <c r="M43" s="241">
        <f t="shared" si="9"/>
        <v>952574.4445048878</v>
      </c>
      <c r="N43" s="247">
        <f t="shared" si="10"/>
        <v>291488</v>
      </c>
      <c r="O43" s="248">
        <f t="shared" si="11"/>
        <v>428659</v>
      </c>
      <c r="P43" s="248">
        <f t="shared" si="12"/>
        <v>217187</v>
      </c>
      <c r="Q43" s="248">
        <f t="shared" si="13"/>
        <v>228618</v>
      </c>
      <c r="R43" s="249">
        <f t="shared" si="14"/>
        <v>874464</v>
      </c>
      <c r="S43" s="245">
        <f t="shared" si="4"/>
        <v>11</v>
      </c>
    </row>
    <row r="44" spans="1:19" x14ac:dyDescent="0.25">
      <c r="A44" s="224">
        <v>12</v>
      </c>
      <c r="B44" s="245">
        <f>VLOOKUP(A44,B4:C24,2,0)</f>
        <v>427948.47535538115</v>
      </c>
      <c r="C44" s="245">
        <f>VLOOKUP(A44,B4:E24,4,0)</f>
        <v>314015.47947903612</v>
      </c>
      <c r="D44" s="245">
        <f t="shared" si="5"/>
        <v>3905</v>
      </c>
      <c r="E44" s="246">
        <f t="shared" si="6"/>
        <v>4881</v>
      </c>
      <c r="F44" s="246">
        <f t="shared" si="7"/>
        <v>5858</v>
      </c>
      <c r="H44" s="224">
        <v>12</v>
      </c>
      <c r="I44" s="245">
        <f t="shared" si="2"/>
        <v>427948.47535538115</v>
      </c>
      <c r="J44" s="245">
        <f t="shared" si="3"/>
        <v>314015.47947903612</v>
      </c>
      <c r="K44" s="245">
        <f>VLOOKUP(H44,B15:H34,7,0)</f>
        <v>93798.304071068793</v>
      </c>
      <c r="L44" s="245">
        <f t="shared" si="8"/>
        <v>65688.27695307137</v>
      </c>
      <c r="M44" s="241">
        <f>SUM(I44:L44)</f>
        <v>901450.53585855733</v>
      </c>
      <c r="N44" s="247">
        <f t="shared" si="10"/>
        <v>275844</v>
      </c>
      <c r="O44" s="248">
        <f t="shared" si="11"/>
        <v>405653</v>
      </c>
      <c r="P44" s="248">
        <f t="shared" si="12"/>
        <v>205531</v>
      </c>
      <c r="Q44" s="248">
        <f t="shared" si="13"/>
        <v>216348</v>
      </c>
      <c r="R44" s="249">
        <f t="shared" si="14"/>
        <v>827532</v>
      </c>
      <c r="S44" s="245">
        <f t="shared" si="4"/>
        <v>12</v>
      </c>
    </row>
    <row r="45" spans="1:19" x14ac:dyDescent="0.25">
      <c r="A45" s="224">
        <v>13</v>
      </c>
      <c r="B45" s="245">
        <f>VLOOKUP(A45,B4:C24,2,0)</f>
        <v>396233.98315580346</v>
      </c>
      <c r="C45" s="245">
        <f>VLOOKUP(A45,B4:E24,4,0)</f>
        <v>233674.81100535937</v>
      </c>
      <c r="D45" s="245">
        <f t="shared" si="5"/>
        <v>3315</v>
      </c>
      <c r="E45" s="246">
        <f t="shared" si="6"/>
        <v>4144</v>
      </c>
      <c r="F45" s="246">
        <f t="shared" si="7"/>
        <v>4973</v>
      </c>
      <c r="H45" s="224">
        <v>13</v>
      </c>
      <c r="I45" s="245">
        <f t="shared" si="2"/>
        <v>396233.98315580346</v>
      </c>
      <c r="J45" s="245">
        <f t="shared" si="3"/>
        <v>233674.81100535937</v>
      </c>
      <c r="K45" s="245">
        <f>VLOOKUP(H45,B16:H35,7,0)</f>
        <v>91025.626985605748</v>
      </c>
      <c r="L45" s="245">
        <f t="shared" si="8"/>
        <v>65688.27695307137</v>
      </c>
      <c r="M45" s="241">
        <f t="shared" si="9"/>
        <v>786622.69809983997</v>
      </c>
      <c r="N45" s="247">
        <f t="shared" si="10"/>
        <v>240707</v>
      </c>
      <c r="O45" s="248">
        <f t="shared" si="11"/>
        <v>353980</v>
      </c>
      <c r="P45" s="248">
        <f t="shared" si="12"/>
        <v>179350</v>
      </c>
      <c r="Q45" s="248">
        <f t="shared" si="13"/>
        <v>188789</v>
      </c>
      <c r="R45" s="249">
        <f t="shared" si="14"/>
        <v>722119</v>
      </c>
      <c r="S45" s="245">
        <f t="shared" si="4"/>
        <v>13</v>
      </c>
    </row>
    <row r="46" spans="1:19" x14ac:dyDescent="0.25">
      <c r="A46" s="224">
        <v>14</v>
      </c>
      <c r="B46" s="245">
        <f>VLOOKUP(A46,B4:C24,2,0)</f>
        <v>366823.02701296896</v>
      </c>
      <c r="C46" s="245">
        <f>VLOOKUP(A46,B4:E24,4,0)</f>
        <v>176512.5660878944</v>
      </c>
      <c r="D46" s="245">
        <f t="shared" si="5"/>
        <v>2860</v>
      </c>
      <c r="E46" s="246">
        <f t="shared" si="6"/>
        <v>3575</v>
      </c>
      <c r="F46" s="246">
        <f t="shared" si="7"/>
        <v>4290</v>
      </c>
      <c r="H46" s="224">
        <v>14</v>
      </c>
      <c r="I46" s="245">
        <f t="shared" si="2"/>
        <v>366823.02701296896</v>
      </c>
      <c r="J46" s="245">
        <f t="shared" si="3"/>
        <v>176512.5660878944</v>
      </c>
      <c r="K46" s="245">
        <f t="shared" si="15"/>
        <v>90296.850859022074</v>
      </c>
      <c r="L46" s="245">
        <f t="shared" si="8"/>
        <v>65688.27695307137</v>
      </c>
      <c r="M46" s="241">
        <f t="shared" si="9"/>
        <v>699320.72091295687</v>
      </c>
      <c r="N46" s="247">
        <f t="shared" si="10"/>
        <v>213992</v>
      </c>
      <c r="O46" s="248">
        <f t="shared" si="11"/>
        <v>314694</v>
      </c>
      <c r="P46" s="248">
        <f t="shared" si="12"/>
        <v>159445</v>
      </c>
      <c r="Q46" s="248">
        <f t="shared" si="13"/>
        <v>167837</v>
      </c>
      <c r="R46" s="249">
        <f t="shared" si="14"/>
        <v>641976</v>
      </c>
      <c r="S46" s="245">
        <f t="shared" si="4"/>
        <v>14</v>
      </c>
    </row>
    <row r="47" spans="1:19" x14ac:dyDescent="0.25">
      <c r="A47" s="224">
        <v>15</v>
      </c>
      <c r="B47" s="245">
        <f>VLOOKUP(A47,B4:C24,2,0)</f>
        <v>339676.30927987013</v>
      </c>
      <c r="C47" s="245">
        <f>VLOOKUP(A47,B4:E24,4,0)</f>
        <v>141778.3757846893</v>
      </c>
      <c r="D47" s="245">
        <f t="shared" si="5"/>
        <v>2534</v>
      </c>
      <c r="E47" s="246">
        <f t="shared" si="6"/>
        <v>3168</v>
      </c>
      <c r="F47" s="246">
        <f t="shared" si="7"/>
        <v>3801</v>
      </c>
      <c r="H47" s="224">
        <v>15</v>
      </c>
      <c r="I47" s="245">
        <f t="shared" si="2"/>
        <v>339676.30927987013</v>
      </c>
      <c r="J47" s="245">
        <f t="shared" si="3"/>
        <v>141778.3757846893</v>
      </c>
      <c r="K47" s="245">
        <f>VLOOKUP(H47,B18:H37,7,0)</f>
        <v>77759.804871611515</v>
      </c>
      <c r="L47" s="245">
        <f t="shared" si="8"/>
        <v>65688.27695307137</v>
      </c>
      <c r="M47" s="241">
        <f t="shared" si="9"/>
        <v>624902.76688924234</v>
      </c>
      <c r="N47" s="247">
        <f t="shared" si="10"/>
        <v>191220</v>
      </c>
      <c r="O47" s="248">
        <f t="shared" si="11"/>
        <v>281206</v>
      </c>
      <c r="P47" s="248">
        <f t="shared" si="12"/>
        <v>142478</v>
      </c>
      <c r="Q47" s="248">
        <f t="shared" si="13"/>
        <v>149977</v>
      </c>
      <c r="R47" s="249">
        <f t="shared" si="14"/>
        <v>573661</v>
      </c>
      <c r="S47" s="245">
        <f t="shared" si="4"/>
        <v>15</v>
      </c>
    </row>
    <row r="48" spans="1:19" x14ac:dyDescent="0.25">
      <c r="A48" s="224">
        <v>16</v>
      </c>
      <c r="B48" s="245">
        <f>VLOOKUP(A48,B4:C24,2,0)</f>
        <v>314454.44855656836</v>
      </c>
      <c r="C48" s="245">
        <f>VLOOKUP(A48,B4:E24,4,0)</f>
        <v>139242.87774948095</v>
      </c>
      <c r="D48" s="245">
        <f t="shared" si="5"/>
        <v>2388</v>
      </c>
      <c r="E48" s="246">
        <f t="shared" si="6"/>
        <v>2985</v>
      </c>
      <c r="F48" s="246">
        <f t="shared" si="7"/>
        <v>3582</v>
      </c>
      <c r="H48" s="224">
        <v>16</v>
      </c>
      <c r="I48" s="245">
        <f t="shared" si="2"/>
        <v>314454.44855656836</v>
      </c>
      <c r="J48" s="245">
        <f t="shared" si="3"/>
        <v>139242.87774948095</v>
      </c>
      <c r="K48" s="245">
        <f>VLOOKUP(H48,B19:H38,7,0)</f>
        <v>81923.877091745904</v>
      </c>
      <c r="L48" s="245">
        <f t="shared" si="8"/>
        <v>65688.27695307137</v>
      </c>
      <c r="M48" s="241">
        <f t="shared" si="9"/>
        <v>601309.48035086656</v>
      </c>
      <c r="N48" s="247">
        <f t="shared" si="10"/>
        <v>184001</v>
      </c>
      <c r="O48" s="248">
        <f t="shared" si="11"/>
        <v>270589</v>
      </c>
      <c r="P48" s="248">
        <f t="shared" si="12"/>
        <v>137099</v>
      </c>
      <c r="Q48" s="248">
        <f t="shared" si="13"/>
        <v>144314</v>
      </c>
      <c r="R48" s="249">
        <f t="shared" si="14"/>
        <v>552002</v>
      </c>
      <c r="S48" s="245">
        <f>+S49-1</f>
        <v>16</v>
      </c>
    </row>
    <row r="49" spans="1:19" x14ac:dyDescent="0.25">
      <c r="A49" s="224">
        <v>17</v>
      </c>
      <c r="B49" s="245">
        <f>VLOOKUP(A49,B4:C24,2,0)</f>
        <v>291170.83938679297</v>
      </c>
      <c r="C49" s="245">
        <f>VLOOKUP(A49,B4:E24,4,0)</f>
        <v>107657.67313077505</v>
      </c>
      <c r="D49" s="245">
        <f t="shared" si="5"/>
        <v>2099</v>
      </c>
      <c r="E49" s="246">
        <f t="shared" si="6"/>
        <v>2624</v>
      </c>
      <c r="F49" s="246">
        <f t="shared" si="7"/>
        <v>3149</v>
      </c>
      <c r="H49" s="224">
        <v>17</v>
      </c>
      <c r="I49" s="245">
        <f t="shared" si="2"/>
        <v>291170.83938679297</v>
      </c>
      <c r="J49" s="245">
        <f t="shared" si="3"/>
        <v>107657.67313077505</v>
      </c>
      <c r="K49" s="245">
        <f t="shared" si="15"/>
        <v>76215.624748609916</v>
      </c>
      <c r="L49" s="245">
        <f t="shared" si="8"/>
        <v>65688.27695307137</v>
      </c>
      <c r="M49" s="241">
        <f t="shared" si="9"/>
        <v>540732.41421924927</v>
      </c>
      <c r="N49" s="247">
        <f t="shared" si="10"/>
        <v>165464</v>
      </c>
      <c r="O49" s="248">
        <f t="shared" si="11"/>
        <v>243330</v>
      </c>
      <c r="P49" s="248">
        <f t="shared" si="12"/>
        <v>123287</v>
      </c>
      <c r="Q49" s="248">
        <f t="shared" si="13"/>
        <v>129776</v>
      </c>
      <c r="R49" s="249">
        <f t="shared" si="14"/>
        <v>496393</v>
      </c>
      <c r="S49" s="245">
        <v>17</v>
      </c>
    </row>
    <row r="50" spans="1:19" x14ac:dyDescent="0.25">
      <c r="A50" s="224">
        <v>18</v>
      </c>
      <c r="B50" s="245">
        <f>VLOOKUP(A50,B4:C24,2,0)</f>
        <v>0</v>
      </c>
      <c r="C50" s="245">
        <f>VLOOKUP(A50,B4:E24,4,0)</f>
        <v>0</v>
      </c>
      <c r="D50" s="245">
        <f t="shared" si="5"/>
        <v>0</v>
      </c>
      <c r="E50" s="246">
        <f t="shared" si="6"/>
        <v>0</v>
      </c>
      <c r="F50" s="246">
        <f t="shared" si="7"/>
        <v>0</v>
      </c>
      <c r="H50" s="224">
        <v>18</v>
      </c>
      <c r="I50" s="245">
        <f t="shared" si="2"/>
        <v>0</v>
      </c>
      <c r="J50" s="245">
        <f t="shared" si="3"/>
        <v>0</v>
      </c>
      <c r="K50" s="245">
        <f t="shared" si="15"/>
        <v>0</v>
      </c>
      <c r="L50" s="245">
        <f t="shared" si="8"/>
        <v>0</v>
      </c>
      <c r="M50" s="241">
        <f t="shared" si="9"/>
        <v>0</v>
      </c>
      <c r="N50" s="247">
        <f t="shared" si="10"/>
        <v>0</v>
      </c>
      <c r="O50" s="248">
        <f t="shared" si="11"/>
        <v>0</v>
      </c>
      <c r="P50" s="248">
        <f t="shared" si="12"/>
        <v>0</v>
      </c>
      <c r="Q50" s="248">
        <f t="shared" si="13"/>
        <v>0</v>
      </c>
      <c r="R50" s="249">
        <f t="shared" si="14"/>
        <v>0</v>
      </c>
    </row>
    <row r="51" spans="1:19" x14ac:dyDescent="0.25">
      <c r="A51" s="224">
        <v>19</v>
      </c>
      <c r="B51" s="245">
        <f>VLOOKUP(A51,B4:C24,2,0)</f>
        <v>0</v>
      </c>
      <c r="C51" s="245">
        <f>VLOOKUP(A51,B4:E24,4,0)</f>
        <v>0</v>
      </c>
      <c r="D51" s="245">
        <f t="shared" si="5"/>
        <v>0</v>
      </c>
      <c r="E51" s="246">
        <f t="shared" si="6"/>
        <v>0</v>
      </c>
      <c r="F51" s="246">
        <f t="shared" si="7"/>
        <v>0</v>
      </c>
      <c r="H51" s="224">
        <v>19</v>
      </c>
      <c r="I51" s="245">
        <f t="shared" ref="I51:I52" si="16">VLOOKUP(H51,B22:C41,2,0)</f>
        <v>0</v>
      </c>
      <c r="J51" s="245">
        <f t="shared" si="3"/>
        <v>0</v>
      </c>
      <c r="K51" s="245">
        <f t="shared" si="15"/>
        <v>0</v>
      </c>
      <c r="L51" s="245">
        <f t="shared" si="8"/>
        <v>0</v>
      </c>
      <c r="M51" s="241">
        <f t="shared" si="9"/>
        <v>0</v>
      </c>
      <c r="N51" s="247">
        <f t="shared" si="10"/>
        <v>0</v>
      </c>
      <c r="O51" s="248">
        <f t="shared" si="11"/>
        <v>0</v>
      </c>
      <c r="P51" s="248">
        <f t="shared" si="12"/>
        <v>0</v>
      </c>
      <c r="Q51" s="248">
        <f t="shared" si="13"/>
        <v>0</v>
      </c>
      <c r="R51" s="249">
        <f t="shared" si="14"/>
        <v>0</v>
      </c>
    </row>
    <row r="52" spans="1:19" x14ac:dyDescent="0.25">
      <c r="A52" s="224">
        <v>20</v>
      </c>
      <c r="B52" s="245">
        <f>VLOOKUP(A52,B4:C24,2,0)</f>
        <v>0</v>
      </c>
      <c r="C52" s="245">
        <f t="shared" ref="C52" si="17">VLOOKUP(A52,B22:E42,4,0)</f>
        <v>0</v>
      </c>
      <c r="D52" s="245">
        <f t="shared" si="5"/>
        <v>0</v>
      </c>
      <c r="E52" s="246">
        <f t="shared" si="6"/>
        <v>0</v>
      </c>
      <c r="F52" s="246">
        <f t="shared" si="7"/>
        <v>0</v>
      </c>
      <c r="H52" s="224">
        <v>20</v>
      </c>
      <c r="I52" s="245">
        <f t="shared" si="16"/>
        <v>0</v>
      </c>
      <c r="J52" s="245">
        <f t="shared" si="3"/>
        <v>0</v>
      </c>
      <c r="K52" s="245">
        <f t="shared" si="15"/>
        <v>0</v>
      </c>
      <c r="L52" s="245">
        <f t="shared" si="8"/>
        <v>0</v>
      </c>
      <c r="M52" s="241">
        <f t="shared" si="9"/>
        <v>0</v>
      </c>
      <c r="N52" s="247">
        <f t="shared" si="10"/>
        <v>0</v>
      </c>
      <c r="O52" s="248">
        <f t="shared" si="11"/>
        <v>0</v>
      </c>
      <c r="P52" s="248">
        <f t="shared" si="12"/>
        <v>0</v>
      </c>
      <c r="Q52" s="248">
        <f t="shared" si="13"/>
        <v>0</v>
      </c>
      <c r="R52" s="249">
        <f t="shared" si="14"/>
        <v>0</v>
      </c>
    </row>
    <row r="53" spans="1:19" x14ac:dyDescent="0.25">
      <c r="E53" s="222"/>
      <c r="F53" s="222"/>
    </row>
    <row r="54" spans="1:19" x14ac:dyDescent="0.25">
      <c r="E54" s="222">
        <f>+E41*25</f>
        <v>211150</v>
      </c>
      <c r="F54" s="222">
        <f>+F41*25</f>
        <v>253400</v>
      </c>
      <c r="G54" s="222"/>
      <c r="O54" s="262" t="s">
        <v>91</v>
      </c>
    </row>
    <row r="55" spans="1:19" x14ac:dyDescent="0.25">
      <c r="E55" s="222"/>
      <c r="F55" s="222"/>
      <c r="G55" s="222"/>
      <c r="O55" s="262" t="s">
        <v>92</v>
      </c>
    </row>
    <row r="56" spans="1:19" x14ac:dyDescent="0.25">
      <c r="E56" s="222"/>
      <c r="F56" s="222"/>
      <c r="G56" s="222"/>
      <c r="O56" s="262" t="s">
        <v>93</v>
      </c>
    </row>
    <row r="57" spans="1:19" x14ac:dyDescent="0.25">
      <c r="E57" s="222"/>
      <c r="F57" s="222"/>
      <c r="G57" s="222"/>
    </row>
    <row r="58" spans="1:19" x14ac:dyDescent="0.25">
      <c r="F58" s="222"/>
    </row>
    <row r="59" spans="1:19" x14ac:dyDescent="0.25">
      <c r="F59" s="222"/>
    </row>
    <row r="60" spans="1:19" x14ac:dyDescent="0.25">
      <c r="F60" s="222"/>
    </row>
    <row r="61" spans="1:19" x14ac:dyDescent="0.25">
      <c r="F61" s="222"/>
    </row>
    <row r="64" spans="1:19" x14ac:dyDescent="0.25">
      <c r="F64" s="222"/>
    </row>
    <row r="68" spans="6:6" x14ac:dyDescent="0.25">
      <c r="F68" s="222"/>
    </row>
  </sheetData>
  <autoFilter ref="B3:P23" xr:uid="{00000000-0009-0000-0000-000009000000}"/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0.7" right="0.7" top="0.75" bottom="0.75" header="0.3" footer="0.3"/>
  <pageSetup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N68"/>
  <sheetViews>
    <sheetView workbookViewId="0">
      <selection activeCell="D6" sqref="D6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7.42578125" style="220" customWidth="1"/>
    <col min="5" max="5" width="13.5703125" style="220" bestFit="1" customWidth="1"/>
    <col min="6" max="6" width="8.42578125" style="220" customWidth="1"/>
    <col min="7" max="7" width="14.5703125" style="220" bestFit="1" customWidth="1"/>
    <col min="8" max="8" width="13.42578125" style="220" customWidth="1"/>
    <col min="9" max="10" width="12.42578125" style="220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18" width="11.5703125" style="222" bestFit="1" customWidth="1"/>
    <col min="19" max="19" width="7.42578125" style="222" bestFit="1" customWidth="1"/>
    <col min="20" max="16384" width="11.42578125" style="220"/>
  </cols>
  <sheetData>
    <row r="1" spans="1:92" s="219" customFormat="1" ht="30.75" customHeight="1" x14ac:dyDescent="0.25">
      <c r="A1" s="259">
        <v>1.0429999999999999</v>
      </c>
      <c r="B1" s="255">
        <v>1.1200000000000001</v>
      </c>
      <c r="C1" s="346" t="s">
        <v>94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240"/>
      <c r="S1" s="262"/>
      <c r="T1" s="279">
        <v>0.8</v>
      </c>
      <c r="W1" s="279">
        <v>7.0000000000000007E-2</v>
      </c>
    </row>
    <row r="2" spans="1:92" x14ac:dyDescent="0.25">
      <c r="A2" s="220"/>
      <c r="B2" s="221"/>
      <c r="O2" s="220"/>
      <c r="P2" s="222"/>
      <c r="R2" s="245"/>
    </row>
    <row r="3" spans="1:92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52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74" t="s">
        <v>70</v>
      </c>
      <c r="R3" s="277"/>
      <c r="S3" s="263"/>
    </row>
    <row r="4" spans="1:92" x14ac:dyDescent="0.25">
      <c r="A4" s="220"/>
      <c r="B4" s="251">
        <v>1</v>
      </c>
      <c r="C4" s="249">
        <f>+'EUS 2023'!C4*'EUS 2024'!$A$1</f>
        <v>801258.24828359042</v>
      </c>
      <c r="D4" s="249">
        <f>+'EUS 2023'!D4*'EUS 2024'!$A$1</f>
        <v>172270.62459339108</v>
      </c>
      <c r="E4" s="249">
        <f>+'EUS 2023'!E4*'EUS 2024'!$A$1</f>
        <v>2975980.5920106261</v>
      </c>
      <c r="F4" s="249">
        <f>+'EUS 2023'!F4*'EUS 2024'!$A$1</f>
        <v>224351.63851819272</v>
      </c>
      <c r="G4" s="249">
        <f>+'EUS 2023'!G4*'EUS 2024'!$A$1</f>
        <v>265990.09246284817</v>
      </c>
      <c r="H4" s="249">
        <f>+'EUS 2023'!H4*'EUS 2024'!$A$1</f>
        <v>24770.012801249704</v>
      </c>
      <c r="I4" s="249">
        <f>+'EUS 2023'!I4*'EUS 2024'!$A$1</f>
        <v>120497.8334151083</v>
      </c>
      <c r="J4" s="249">
        <f>+'EUS 2023'!J4*'EUS 2024'!$A$1</f>
        <v>0</v>
      </c>
      <c r="K4" s="249">
        <f>+'EUS 2023'!K4*'EUS 2024'!$A$1</f>
        <v>801258.3176326605</v>
      </c>
      <c r="L4" s="249">
        <f>+'EUS 2023'!L4*'EUS 2024'!$A$1</f>
        <v>2975979.385791556</v>
      </c>
      <c r="M4" s="249">
        <f>+'EUS 2023'!M4*'EUS 2024'!$A$1</f>
        <v>0</v>
      </c>
      <c r="N4" s="249">
        <f>+'EUS 2023'!N4*'EUS 2024'!$A$1</f>
        <v>0</v>
      </c>
      <c r="O4" s="249">
        <f>+'EUS 2023'!O4*'EUS 2024'!$A$1</f>
        <v>0</v>
      </c>
      <c r="P4" s="254">
        <f>+'EUS 2023'!P4*'EUS 2024'!$A$1</f>
        <v>8592513.4244415518</v>
      </c>
      <c r="Q4" s="275">
        <f>+'EUS 2022'!Q4*'EUS 2023'!$A$1</f>
        <v>0</v>
      </c>
      <c r="R4" s="245">
        <f t="shared" ref="R4:R18" si="0">+R5-1</f>
        <v>1</v>
      </c>
      <c r="S4" s="222">
        <f>P4*$T$1</f>
        <v>6874010.739553242</v>
      </c>
    </row>
    <row r="5" spans="1:92" x14ac:dyDescent="0.25">
      <c r="A5" s="220"/>
      <c r="B5" s="251">
        <v>2</v>
      </c>
      <c r="C5" s="249">
        <f>+'EUS 2023'!C5*'EUS 2024'!$A$1</f>
        <v>756258.93351089244</v>
      </c>
      <c r="D5" s="249">
        <f>+'EUS 2023'!D5*'EUS 2024'!$A$1</f>
        <v>162596.12902565391</v>
      </c>
      <c r="E5" s="249">
        <f>+'EUS 2023'!E5*'EUS 2024'!$A$1</f>
        <v>2847147.2093105749</v>
      </c>
      <c r="F5" s="249">
        <f>+'EUS 2023'!F5*'EUS 2024'!$A$1</f>
        <v>211751.49264049769</v>
      </c>
      <c r="G5" s="249">
        <f>+'EUS 2023'!G5*'EUS 2024'!$A$1</f>
        <v>273340.65787090239</v>
      </c>
      <c r="H5" s="249">
        <f>+'EUS 2023'!H5*'EUS 2024'!$A$1</f>
        <v>24770.012801249704</v>
      </c>
      <c r="I5" s="249">
        <f>+'EUS 2023'!I5*'EUS 2024'!$A$1</f>
        <v>124312.30210504087</v>
      </c>
      <c r="J5" s="249">
        <f>+'EUS 2023'!J5*'EUS 2024'!$A$1</f>
        <v>0</v>
      </c>
      <c r="K5" s="249">
        <f>+'EUS 2023'!K5*'EUS 2024'!$A$1</f>
        <v>0</v>
      </c>
      <c r="L5" s="249">
        <f>+'EUS 2023'!L5*'EUS 2024'!$A$1</f>
        <v>0</v>
      </c>
      <c r="M5" s="249">
        <f>+'EUS 2023'!M5*'EUS 2024'!$A$1</f>
        <v>0</v>
      </c>
      <c r="N5" s="249">
        <f>+'EUS 2023'!N5*'EUS 2024'!$A$1</f>
        <v>0</v>
      </c>
      <c r="O5" s="249">
        <f>+'EUS 2023'!O5*'EUS 2024'!$A$1</f>
        <v>0</v>
      </c>
      <c r="P5" s="254">
        <f>+'EUS 2023'!P5*'EUS 2024'!$A$1</f>
        <v>4521281.3508643946</v>
      </c>
      <c r="Q5" s="275">
        <f>+'EUS 2022'!Q5*'EUS 2023'!$A$1</f>
        <v>0</v>
      </c>
      <c r="R5" s="245">
        <f t="shared" si="0"/>
        <v>2</v>
      </c>
      <c r="S5" s="222">
        <f t="shared" ref="S5:S20" si="1">P5*$T$1</f>
        <v>3617025.0806915159</v>
      </c>
    </row>
    <row r="6" spans="1:92" s="280" customFormat="1" x14ac:dyDescent="0.25">
      <c r="B6" s="281">
        <v>3</v>
      </c>
      <c r="C6" s="249">
        <f>+'EUS 2023'!C6*'EUS 2024'!$A$1</f>
        <v>798484.33958590601</v>
      </c>
      <c r="D6" s="249">
        <f>+'EUS 2023'!D6*'EUS 2024'!$A$1</f>
        <v>171673.90535613033</v>
      </c>
      <c r="E6" s="249">
        <f>+'EUS 2023'!E6*'EUS 2024'!$A$1</f>
        <v>2347761.0167275979</v>
      </c>
      <c r="F6" s="249">
        <f>+'EUS 2023'!F6*'EUS 2024'!$A$1</f>
        <v>223576.15008795104</v>
      </c>
      <c r="G6" s="249">
        <f>+'EUS 2023'!G6*'EUS 2024'!$A$1</f>
        <v>274350.32623942842</v>
      </c>
      <c r="H6" s="249">
        <f>+'EUS 2023'!H6*'EUS 2024'!$A$1</f>
        <v>24770.012801249704</v>
      </c>
      <c r="I6" s="249">
        <f>+'EUS 2023'!I6*'EUS 2024'!$A$1</f>
        <v>124810.48608440159</v>
      </c>
      <c r="J6" s="249">
        <f>+'EUS 2023'!J6*'EUS 2024'!$A$1</f>
        <v>33977.312034334071</v>
      </c>
      <c r="K6" s="249">
        <f>+'EUS 2023'!K6*'EUS 2024'!$A$1</f>
        <v>0</v>
      </c>
      <c r="L6" s="249">
        <f>+'EUS 2023'!L6*'EUS 2024'!$A$1</f>
        <v>0</v>
      </c>
      <c r="M6" s="249">
        <f>+'EUS 2023'!M6*'EUS 2024'!$A$1</f>
        <v>943874.21533796948</v>
      </c>
      <c r="N6" s="249">
        <f>+'EUS 2023'!N6*'EUS 2024'!$A$1</f>
        <v>629249.06592831761</v>
      </c>
      <c r="O6" s="249">
        <f>+'EUS 2023'!O6*'EUS 2024'!$A$1</f>
        <v>638794.01192153059</v>
      </c>
      <c r="P6" s="254">
        <f>+'EUS 2023'!P6*'EUS 2024'!$A$1</f>
        <v>6382275.8661676636</v>
      </c>
      <c r="Q6" s="284">
        <f>+'EUS 2022'!Q6*'EUS 2023'!$A$1</f>
        <v>306230.9203872534</v>
      </c>
      <c r="R6" s="285">
        <f t="shared" si="0"/>
        <v>3</v>
      </c>
      <c r="S6" s="286">
        <f t="shared" si="1"/>
        <v>5105820.6929341312</v>
      </c>
      <c r="W6" s="287">
        <f>(P6*W1)+P6</f>
        <v>6829035.1767993998</v>
      </c>
      <c r="X6" s="288">
        <f>W6*11</f>
        <v>75119386.944793403</v>
      </c>
    </row>
    <row r="7" spans="1:92" x14ac:dyDescent="0.25">
      <c r="A7" s="220"/>
      <c r="B7" s="251">
        <v>4</v>
      </c>
      <c r="C7" s="249">
        <f>+'EUS 2023'!C7*'EUS 2024'!$A$1</f>
        <v>753308.6253812128</v>
      </c>
      <c r="D7" s="249">
        <f>+'EUS 2023'!D7*'EUS 2024'!$A$1</f>
        <v>161961.19016782488</v>
      </c>
      <c r="E7" s="249">
        <f>+'EUS 2023'!E7*'EUS 2024'!$A$1</f>
        <v>2277840.0435623634</v>
      </c>
      <c r="F7" s="249">
        <f>+'EUS 2023'!F7*'EUS 2024'!$A$1</f>
        <v>210927.92146179904</v>
      </c>
      <c r="G7" s="249">
        <f>+'EUS 2023'!G7*'EUS 2024'!$A$1</f>
        <v>280732.976202427</v>
      </c>
      <c r="H7" s="249">
        <f>+'EUS 2023'!H7*'EUS 2024'!$A$1</f>
        <v>24770.012801249704</v>
      </c>
      <c r="I7" s="249">
        <f>+'EUS 2023'!I7*'EUS 2024'!$A$1</f>
        <v>128108.34677925232</v>
      </c>
      <c r="J7" s="249">
        <f>+'EUS 2023'!J7*'EUS 2024'!$A$1</f>
        <v>33977.312034334071</v>
      </c>
      <c r="K7" s="249">
        <f>+'EUS 2023'!K7*'EUS 2024'!$A$1</f>
        <v>0</v>
      </c>
      <c r="L7" s="249">
        <f>+'EUS 2023'!L7*'EUS 2024'!$A$1</f>
        <v>0</v>
      </c>
      <c r="M7" s="249">
        <f>+'EUS 2023'!M7*'EUS 2024'!$A$1</f>
        <v>0</v>
      </c>
      <c r="N7" s="249">
        <f>+'EUS 2023'!N7*'EUS 2024'!$A$1</f>
        <v>0</v>
      </c>
      <c r="O7" s="249">
        <f>+'EUS 2023'!O7*'EUS 2024'!$A$1</f>
        <v>602640.88201589882</v>
      </c>
      <c r="P7" s="254">
        <f>+'EUS 2023'!P7*'EUS 2024'!$A$1</f>
        <v>4597407.3245813688</v>
      </c>
      <c r="Q7" s="275">
        <f>+'EUS 2022'!Q7*'EUS 2023'!$A$1</f>
        <v>288898.39192608575</v>
      </c>
      <c r="R7" s="245">
        <f t="shared" si="0"/>
        <v>4</v>
      </c>
      <c r="S7" s="222">
        <f t="shared" si="1"/>
        <v>3677925.8596650953</v>
      </c>
    </row>
    <row r="8" spans="1:92" s="280" customFormat="1" x14ac:dyDescent="0.25">
      <c r="B8" s="281">
        <v>5</v>
      </c>
      <c r="C8" s="249">
        <f>+'EUS 2023'!C8*'EUS 2024'!$A$1</f>
        <v>710693.87114040367</v>
      </c>
      <c r="D8" s="249">
        <f>+'EUS 2023'!D8*'EUS 2024'!$A$1</f>
        <v>152798.34435930924</v>
      </c>
      <c r="E8" s="249">
        <f>+'EUS 2023'!E8*'EUS 2024'!$A$1</f>
        <v>1957749.5417552688</v>
      </c>
      <c r="F8" s="249">
        <f>+'EUS 2023'!F8*'EUS 2024'!$A$1</f>
        <v>198994.76960757095</v>
      </c>
      <c r="G8" s="249">
        <f>+'EUS 2023'!G8*'EUS 2024'!$A$1</f>
        <v>287140.31065706309</v>
      </c>
      <c r="H8" s="249">
        <f>+'EUS 2023'!H8*'EUS 2024'!$A$1</f>
        <v>24770.012801249704</v>
      </c>
      <c r="I8" s="249">
        <f>+'EUS 2023'!I8*'EUS 2024'!$A$1</f>
        <v>131459.44050039252</v>
      </c>
      <c r="J8" s="249">
        <f>+'EUS 2023'!J8*'EUS 2024'!$A$1</f>
        <v>33977.312034334071</v>
      </c>
      <c r="K8" s="249">
        <f>+'EUS 2023'!K8*'EUS 2024'!$A$1</f>
        <v>0</v>
      </c>
      <c r="L8" s="249">
        <f>+'EUS 2023'!L8*'EUS 2024'!$A$1</f>
        <v>0</v>
      </c>
      <c r="M8" s="249">
        <f>+'EUS 2023'!M8*'EUS 2024'!$A$1</f>
        <v>0</v>
      </c>
      <c r="N8" s="249">
        <f>+'EUS 2023'!N8*'EUS 2024'!$A$1</f>
        <v>0</v>
      </c>
      <c r="O8" s="249">
        <f>+'EUS 2023'!O8*'EUS 2024'!$A$1</f>
        <v>600689.14623587078</v>
      </c>
      <c r="P8" s="254">
        <f>+'EUS 2023'!P8*'EUS 2024'!$A$1</f>
        <v>4211070.4149328796</v>
      </c>
      <c r="Q8" s="284">
        <f>+'EUS 2022'!Q8*'EUS 2023'!$A$1</f>
        <v>287962.19857903681</v>
      </c>
      <c r="R8" s="285">
        <f t="shared" si="0"/>
        <v>5</v>
      </c>
      <c r="S8" s="286">
        <f t="shared" si="1"/>
        <v>3368856.3319463041</v>
      </c>
      <c r="W8" s="287">
        <f>(P8*W1)+P8</f>
        <v>4505845.3439781815</v>
      </c>
      <c r="X8" s="288">
        <f>(W8*11)*-1</f>
        <v>-49564298.783759996</v>
      </c>
    </row>
    <row r="9" spans="1:92" x14ac:dyDescent="0.25">
      <c r="A9" s="220"/>
      <c r="B9" s="251">
        <v>6</v>
      </c>
      <c r="C9" s="249">
        <f>+'EUS 2023'!C9*'EUS 2024'!$A$1</f>
        <v>670412.85684333392</v>
      </c>
      <c r="D9" s="249">
        <f>+'EUS 2023'!D9*'EUS 2024'!$A$1</f>
        <v>144139.75096409861</v>
      </c>
      <c r="E9" s="249">
        <f>+'EUS 2023'!E9*'EUS 2024'!$A$1</f>
        <v>1654453.2249080176</v>
      </c>
      <c r="F9" s="249">
        <f>+'EUS 2023'!F9*'EUS 2024'!$A$1</f>
        <v>187715.04997596308</v>
      </c>
      <c r="G9" s="249">
        <f>+'EUS 2023'!G9*'EUS 2024'!$A$1</f>
        <v>320956.11397222127</v>
      </c>
      <c r="H9" s="249">
        <f>+'EUS 2023'!H9*'EUS 2024'!$A$1</f>
        <v>24768.806582179699</v>
      </c>
      <c r="I9" s="249">
        <f>+'EUS 2023'!I9*'EUS 2024'!$A$1</f>
        <v>122310.18316463979</v>
      </c>
      <c r="J9" s="249">
        <f>+'EUS 2023'!J9*'EUS 2024'!$A$1</f>
        <v>39146.633697779995</v>
      </c>
      <c r="K9" s="249">
        <f>+'EUS 2023'!K9*'EUS 2024'!$A$1</f>
        <v>0</v>
      </c>
      <c r="L9" s="249">
        <f>+'EUS 2023'!L9*'EUS 2024'!$A$1</f>
        <v>0</v>
      </c>
      <c r="M9" s="249">
        <f>+'EUS 2023'!M9*'EUS 2024'!$A$1</f>
        <v>0</v>
      </c>
      <c r="N9" s="249">
        <f>+'EUS 2023'!N9*'EUS 2024'!$A$1</f>
        <v>0</v>
      </c>
      <c r="O9" s="249">
        <f>+'EUS 2023'!O9*'EUS 2024'!$A$1</f>
        <v>536324.83941679541</v>
      </c>
      <c r="P9" s="254">
        <f>+'EUS 2023'!P9*'EUS 2024'!$A$1</f>
        <v>3801990.2182222055</v>
      </c>
      <c r="Q9" s="275">
        <f>+'EUS 2022'!Q9*'EUS 2023'!$A$1</f>
        <v>257105.66969254817</v>
      </c>
      <c r="R9" s="245">
        <f t="shared" si="0"/>
        <v>6</v>
      </c>
      <c r="S9" s="222">
        <f t="shared" si="1"/>
        <v>3041592.1745777647</v>
      </c>
    </row>
    <row r="10" spans="1:92" x14ac:dyDescent="0.25">
      <c r="A10" s="222"/>
      <c r="B10" s="251">
        <v>7</v>
      </c>
      <c r="C10" s="249">
        <f>+'EUS 2023'!C10*'EUS 2024'!$A$1</f>
        <v>626487.78775315976</v>
      </c>
      <c r="D10" s="249">
        <f>+'EUS 2023'!D10*'EUS 2024'!$A$1</f>
        <v>134695.64065259782</v>
      </c>
      <c r="E10" s="249">
        <f>+'EUS 2023'!E10*'EUS 2024'!$A$1</f>
        <v>1257845.0984389889</v>
      </c>
      <c r="F10" s="249">
        <f>+'EUS 2023'!F10*'EUS 2024'!$A$1</f>
        <v>175416.56115314516</v>
      </c>
      <c r="G10" s="249">
        <f>+'EUS 2023'!G10*'EUS 2024'!$A$1</f>
        <v>224376.95282988044</v>
      </c>
      <c r="H10" s="249">
        <f>+'EUS 2023'!H10*'EUS 2024'!$A$1</f>
        <v>25112.005088446447</v>
      </c>
      <c r="I10" s="249">
        <f>+'EUS 2023'!I10*'EUS 2024'!$A$1</f>
        <v>92478.574111989234</v>
      </c>
      <c r="J10" s="249">
        <f>+'EUS 2023'!J10*'EUS 2024'!$A$1</f>
        <v>39612.247536859526</v>
      </c>
      <c r="K10" s="249">
        <f>+'EUS 2023'!K10*'EUS 2024'!$A$1</f>
        <v>0</v>
      </c>
      <c r="L10" s="249">
        <f>+'EUS 2023'!L10*'EUS 2024'!$A$1</f>
        <v>0</v>
      </c>
      <c r="M10" s="249">
        <f>+'EUS 2023'!M10*'EUS 2024'!$A$1</f>
        <v>0</v>
      </c>
      <c r="N10" s="249">
        <f>+'EUS 2023'!N10*'EUS 2024'!$A$1</f>
        <v>0</v>
      </c>
      <c r="O10" s="249">
        <f>+'EUS 2023'!O10*'EUS 2024'!$A$1</f>
        <v>496134.31972725299</v>
      </c>
      <c r="P10" s="254">
        <f>+'EUS 2023'!P10*'EUS 2024'!$A$1</f>
        <v>3156716.4348873007</v>
      </c>
      <c r="Q10" s="275">
        <f>+'EUS 2022'!Q10*'EUS 2023'!$A$1</f>
        <v>237840.61646515969</v>
      </c>
      <c r="R10" s="245">
        <f t="shared" si="0"/>
        <v>7</v>
      </c>
      <c r="S10" s="222">
        <f t="shared" si="1"/>
        <v>2525373.1479098406</v>
      </c>
    </row>
    <row r="11" spans="1:92" x14ac:dyDescent="0.25">
      <c r="A11" s="220"/>
      <c r="B11" s="251">
        <v>8</v>
      </c>
      <c r="C11" s="249">
        <f>+'EUS 2023'!C11*'EUS 2024'!$A$1</f>
        <v>590965.27567788737</v>
      </c>
      <c r="D11" s="249">
        <f>+'EUS 2023'!D11*'EUS 2024'!$A$1</f>
        <v>127056.95019802553</v>
      </c>
      <c r="E11" s="249">
        <f>+'EUS 2023'!E11*'EUS 2024'!$A$1</f>
        <v>983969.16822907259</v>
      </c>
      <c r="F11" s="249">
        <f>+'EUS 2023'!F11*'EUS 2024'!$A$1</f>
        <v>165469.99038738976</v>
      </c>
      <c r="G11" s="249">
        <f>+'EUS 2023'!G11*'EUS 2024'!$A$1</f>
        <v>174369.15645743295</v>
      </c>
      <c r="H11" s="249">
        <f>+'EUS 2023'!H11*'EUS 2024'!$A$1</f>
        <v>25585.346454200884</v>
      </c>
      <c r="I11" s="249">
        <f>+'EUS 2023'!I11*'EUS 2024'!$A$1</f>
        <v>71890.031697448096</v>
      </c>
      <c r="J11" s="249">
        <f>+'EUS 2023'!J11*'EUS 2024'!$A$1</f>
        <v>40358.906964637623</v>
      </c>
      <c r="K11" s="249">
        <f>+'EUS 2023'!K11*'EUS 2024'!$A$1</f>
        <v>0</v>
      </c>
      <c r="L11" s="249">
        <f>+'EUS 2023'!L11*'EUS 2024'!$A$1</f>
        <v>0</v>
      </c>
      <c r="M11" s="249">
        <f>+'EUS 2023'!M11*'EUS 2024'!$A$1</f>
        <v>0</v>
      </c>
      <c r="N11" s="249">
        <f>+'EUS 2023'!N11*'EUS 2024'!$A$1</f>
        <v>0</v>
      </c>
      <c r="O11" s="249">
        <f>+'EUS 2023'!O11*'EUS 2024'!$A$1</f>
        <v>453362.89925434632</v>
      </c>
      <c r="P11" s="254">
        <f>+'EUS 2023'!P11*'EUS 2024'!$A$1</f>
        <v>2584314.178530009</v>
      </c>
      <c r="Q11" s="275">
        <f>+'EUS 2022'!Q11*'EUS 2023'!$A$1</f>
        <v>217336.54656008934</v>
      </c>
      <c r="R11" s="245">
        <f t="shared" si="0"/>
        <v>8</v>
      </c>
      <c r="S11" s="222">
        <f t="shared" si="1"/>
        <v>2067451.3428240074</v>
      </c>
    </row>
    <row r="12" spans="1:92" x14ac:dyDescent="0.25">
      <c r="A12" s="220"/>
      <c r="B12" s="251">
        <v>9</v>
      </c>
      <c r="C12" s="249">
        <f>+'EUS 2023'!C12*'EUS 2024'!$A$1</f>
        <v>562193.8489269719</v>
      </c>
      <c r="D12" s="249">
        <f>+'EUS 2023'!D12*'EUS 2024'!$A$1</f>
        <v>120872.17075040523</v>
      </c>
      <c r="E12" s="249">
        <f>+'EUS 2023'!E12*'EUS 2024'!$A$1</f>
        <v>776871.18815294863</v>
      </c>
      <c r="F12" s="249">
        <f>+'EUS 2023'!F12*'EUS 2024'!$A$1</f>
        <v>157413.97669343854</v>
      </c>
      <c r="G12" s="249">
        <f>+'EUS 2023'!G12*'EUS 2024'!$A$1</f>
        <v>136599.37677967985</v>
      </c>
      <c r="H12" s="249">
        <f>+'EUS 2023'!H12*'EUS 2024'!$A$1</f>
        <v>26290.769719324213</v>
      </c>
      <c r="I12" s="249">
        <f>+'EUS 2023'!I12*'EUS 2024'!$A$1</f>
        <v>56307.041879777506</v>
      </c>
      <c r="J12" s="249">
        <f>+'EUS 2023'!J12*'EUS 2024'!$A$1</f>
        <v>41469.702569168934</v>
      </c>
      <c r="K12" s="249">
        <f>+'EUS 2023'!K12*'EUS 2024'!$A$1</f>
        <v>0</v>
      </c>
      <c r="L12" s="249">
        <f>+'EUS 2023'!L12*'EUS 2024'!$A$1</f>
        <v>0</v>
      </c>
      <c r="M12" s="249">
        <f>+'EUS 2023'!M12*'EUS 2024'!$A$1</f>
        <v>0</v>
      </c>
      <c r="N12" s="249">
        <f>+'EUS 2023'!N12*'EUS 2024'!$A$1</f>
        <v>0</v>
      </c>
      <c r="O12" s="249">
        <f>+'EUS 2023'!O12*'EUS 2024'!$A$1</f>
        <v>421566.77005897876</v>
      </c>
      <c r="P12" s="254">
        <f>+'EUS 2023'!P12*'EUS 2024'!$A$1</f>
        <v>2299583.4635974136</v>
      </c>
      <c r="Q12" s="276">
        <f>+'EUS 2022'!Q12*'EUS 2023'!$B$1</f>
        <v>202092.18179456322</v>
      </c>
      <c r="R12" s="245">
        <f t="shared" si="0"/>
        <v>9</v>
      </c>
      <c r="S12" s="222">
        <f t="shared" si="1"/>
        <v>1839666.770877931</v>
      </c>
    </row>
    <row r="13" spans="1:92" s="256" customFormat="1" x14ac:dyDescent="0.25">
      <c r="A13" s="220"/>
      <c r="B13" s="251">
        <v>10</v>
      </c>
      <c r="C13" s="249">
        <f>+'EUS 2023'!C13*'EUS 2024'!$A$1</f>
        <v>520589.15904821706</v>
      </c>
      <c r="D13" s="249">
        <f>+'EUS 2023'!D13*'EUS 2024'!$A$1</f>
        <v>111925.8008000894</v>
      </c>
      <c r="E13" s="249">
        <f>+'EUS 2023'!E13*'EUS 2024'!$A$1</f>
        <v>587228.29645639798</v>
      </c>
      <c r="F13" s="249">
        <f>+'EUS 2023'!F13*'EUS 2024'!$A$1</f>
        <v>145764.19876925228</v>
      </c>
      <c r="G13" s="249">
        <f>+'EUS 2023'!G13*'EUS 2024'!$A$1</f>
        <v>102088.32686613094</v>
      </c>
      <c r="H13" s="249">
        <f>+'EUS 2023'!H13*'EUS 2024'!$A$1</f>
        <v>26290.769719324213</v>
      </c>
      <c r="I13" s="249">
        <f>+'EUS 2023'!I13*'EUS 2024'!$A$1</f>
        <v>42110.947815092579</v>
      </c>
      <c r="J13" s="249">
        <f>+'EUS 2023'!J13*'EUS 2024'!$A$1</f>
        <v>41469.702569168934</v>
      </c>
      <c r="K13" s="249">
        <f>+'EUS 2023'!K13*'EUS 2024'!$A$1</f>
        <v>0</v>
      </c>
      <c r="L13" s="249">
        <f>+'EUS 2023'!L13*'EUS 2024'!$A$1</f>
        <v>0</v>
      </c>
      <c r="M13" s="249">
        <f>+'EUS 2023'!M13*'EUS 2024'!$A$1</f>
        <v>0</v>
      </c>
      <c r="N13" s="249">
        <f>+'EUS 2023'!N13*'EUS 2024'!$A$1</f>
        <v>0</v>
      </c>
      <c r="O13" s="249">
        <f>+'EUS 2023'!O13*'EUS 2024'!$A$1</f>
        <v>381502.49001392338</v>
      </c>
      <c r="P13" s="254">
        <f>+'EUS 2023'!P13*'EUS 2024'!$A$1</f>
        <v>1958968.4526398368</v>
      </c>
      <c r="Q13" s="276">
        <f>+'EUS 2022'!Q13*'EUS 2023'!$B$1</f>
        <v>182888.25491105791</v>
      </c>
      <c r="R13" s="245">
        <f t="shared" si="0"/>
        <v>10</v>
      </c>
      <c r="S13" s="222">
        <f t="shared" si="1"/>
        <v>1567174.7621118696</v>
      </c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</row>
    <row r="14" spans="1:92" x14ac:dyDescent="0.25">
      <c r="A14" s="220"/>
      <c r="B14" s="251">
        <v>11</v>
      </c>
      <c r="C14" s="249">
        <f>+'EUS 2023'!C14*'EUS 2024'!$A$1</f>
        <v>482058.53890824801</v>
      </c>
      <c r="D14" s="249">
        <f>+'EUS 2023'!D14*'EUS 2024'!$A$1</f>
        <v>103641.54335450668</v>
      </c>
      <c r="E14" s="249">
        <f>+'EUS 2023'!E14*'EUS 2024'!$A$1</f>
        <v>443716.13442185661</v>
      </c>
      <c r="F14" s="249">
        <f>+'EUS 2023'!F14*'EUS 2024'!$A$1</f>
        <v>134976.7373285029</v>
      </c>
      <c r="G14" s="249">
        <f>+'EUS 2023'!G14*'EUS 2024'!$A$1</f>
        <v>76090.666239811078</v>
      </c>
      <c r="H14" s="249">
        <f>+'EUS 2023'!H14*'EUS 2024'!$A$1</f>
        <v>26290.769719324213</v>
      </c>
      <c r="I14" s="249">
        <f>+'EUS 2023'!I14*'EUS 2024'!$A$1</f>
        <v>31348.138838625866</v>
      </c>
      <c r="J14" s="249">
        <f>+'EUS 2023'!J14*'EUS 2024'!$A$1</f>
        <v>41469.702569168934</v>
      </c>
      <c r="K14" s="249">
        <f>+'EUS 2023'!K14*'EUS 2024'!$A$1</f>
        <v>0</v>
      </c>
      <c r="L14" s="249">
        <f>+'EUS 2023'!L14*'EUS 2024'!$A$1</f>
        <v>0</v>
      </c>
      <c r="M14" s="249">
        <f>+'EUS 2023'!M14*'EUS 2024'!$A$1</f>
        <v>0</v>
      </c>
      <c r="N14" s="249">
        <f>+'EUS 2023'!N14*'EUS 2024'!$A$1</f>
        <v>0</v>
      </c>
      <c r="O14" s="249">
        <f>+'EUS 2023'!O14*'EUS 2024'!$A$1</f>
        <v>345257.65177991113</v>
      </c>
      <c r="P14" s="254">
        <f>+'EUS 2023'!P14*'EUS 2024'!$A$1</f>
        <v>1684847.3330666753</v>
      </c>
      <c r="Q14" s="276">
        <f>+'EUS 2022'!Q14*'EUS 2023'!$B$1</f>
        <v>165511.18940766592</v>
      </c>
      <c r="R14" s="245">
        <f t="shared" si="0"/>
        <v>11</v>
      </c>
      <c r="S14" s="222">
        <f t="shared" si="1"/>
        <v>1347877.8664533403</v>
      </c>
      <c r="T14" s="222"/>
    </row>
    <row r="15" spans="1:92" x14ac:dyDescent="0.25">
      <c r="A15" s="220"/>
      <c r="B15" s="251">
        <v>12</v>
      </c>
      <c r="C15" s="249">
        <f>+'EUS 2023'!C15*'EUS 2024'!$A$1</f>
        <v>446350.25979566248</v>
      </c>
      <c r="D15" s="249">
        <f>+'EUS 2023'!D15*'EUS 2024'!$A$1</f>
        <v>95965.748981455268</v>
      </c>
      <c r="E15" s="249">
        <f>+'EUS 2023'!E15*'EUS 2024'!$A$1</f>
        <v>327518.14509663463</v>
      </c>
      <c r="F15" s="249">
        <f>+'EUS 2023'!F15*'EUS 2024'!$A$1</f>
        <v>124979.62362067598</v>
      </c>
      <c r="G15" s="249">
        <f>+'EUS 2023'!G15*'EUS 2024'!$A$1</f>
        <v>64353.148187294217</v>
      </c>
      <c r="H15" s="249">
        <f>+'EUS 2023'!H15*'EUS 2024'!$A$1</f>
        <v>97831.631146124739</v>
      </c>
      <c r="I15" s="249">
        <f>+'EUS 2023'!I15*'EUS 2024'!$A$1</f>
        <v>25038.582565349217</v>
      </c>
      <c r="J15" s="249">
        <f>+'EUS 2023'!J15*'EUS 2024'!$A$1</f>
        <v>68512.872862053438</v>
      </c>
      <c r="K15" s="249">
        <f>+'EUS 2023'!K15*'EUS 2024'!$A$1</f>
        <v>0</v>
      </c>
      <c r="L15" s="249">
        <f>+'EUS 2023'!L15*'EUS 2024'!$A$1</f>
        <v>0</v>
      </c>
      <c r="M15" s="249">
        <f>+'EUS 2023'!M15*'EUS 2024'!$A$1</f>
        <v>0</v>
      </c>
      <c r="N15" s="249">
        <f>+'EUS 2023'!N15*'EUS 2024'!$A$1</f>
        <v>0</v>
      </c>
      <c r="O15" s="249">
        <f>+'EUS 2023'!O15*'EUS 2024'!$A$1</f>
        <v>312448.98994671338</v>
      </c>
      <c r="P15" s="254">
        <f>+'EUS 2023'!P15*'EUS 2024'!$A$1</f>
        <v>1563000.3128774834</v>
      </c>
      <c r="Q15" s="276">
        <f>+'EUS 2022'!Q15*'EUS 2023'!$B$1</f>
        <v>149782.5704727789</v>
      </c>
      <c r="R15" s="245">
        <f t="shared" si="0"/>
        <v>12</v>
      </c>
      <c r="S15" s="222">
        <f>P15*$T$1</f>
        <v>1250400.2503019867</v>
      </c>
      <c r="T15" s="222"/>
    </row>
    <row r="16" spans="1:92" x14ac:dyDescent="0.25">
      <c r="A16" s="220"/>
      <c r="B16" s="251">
        <v>13</v>
      </c>
      <c r="C16" s="249">
        <f>+'EUS 2023'!C16*'EUS 2024'!$A$1</f>
        <v>413272.04443150299</v>
      </c>
      <c r="D16" s="249">
        <f>+'EUS 2023'!D16*'EUS 2024'!$A$1</f>
        <v>88853.927907889942</v>
      </c>
      <c r="E16" s="249">
        <f>+'EUS 2023'!E16*'EUS 2024'!$A$1</f>
        <v>243722.8278785898</v>
      </c>
      <c r="F16" s="249">
        <f>+'EUS 2023'!F16*'EUS 2024'!$A$1</f>
        <v>115715.28264535994</v>
      </c>
      <c r="G16" s="249">
        <f>+'EUS 2023'!G16*'EUS 2024'!$A$1</f>
        <v>47509.845674220509</v>
      </c>
      <c r="H16" s="249">
        <f>+'EUS 2023'!H16*'EUS 2024'!$A$1</f>
        <v>94939.72894598679</v>
      </c>
      <c r="I16" s="249">
        <f>+'EUS 2023'!I16*'EUS 2024'!$A$1</f>
        <v>18068.081947339539</v>
      </c>
      <c r="J16" s="249">
        <f>+'EUS 2023'!J16*'EUS 2024'!$A$1</f>
        <v>68512.872862053438</v>
      </c>
      <c r="K16" s="249">
        <f>+'EUS 2023'!K16*'EUS 2024'!$A$1</f>
        <v>0</v>
      </c>
      <c r="L16" s="249">
        <f>+'EUS 2023'!L16*'EUS 2024'!$A$1</f>
        <v>0</v>
      </c>
      <c r="M16" s="249">
        <f>+'EUS 2023'!M16*'EUS 2024'!$A$1</f>
        <v>0</v>
      </c>
      <c r="N16" s="249">
        <f>+'EUS 2023'!N16*'EUS 2024'!$A$1</f>
        <v>0</v>
      </c>
      <c r="O16" s="249">
        <f>+'EUS 2023'!O16*'EUS 2024'!$A$1</f>
        <v>0</v>
      </c>
      <c r="P16" s="254">
        <f>+'EUS 2023'!P16*'EUS 2024'!$A$1</f>
        <v>1090589.5833641428</v>
      </c>
      <c r="Q16" s="276">
        <f>+'EUS 2022'!Q16*'EUS 2023'!$B$1</f>
        <v>0</v>
      </c>
      <c r="R16" s="245">
        <f t="shared" si="0"/>
        <v>13</v>
      </c>
      <c r="S16" s="222">
        <f t="shared" si="1"/>
        <v>872471.66669131431</v>
      </c>
      <c r="T16" s="222"/>
    </row>
    <row r="17" spans="1:20" x14ac:dyDescent="0.25">
      <c r="A17" s="220"/>
      <c r="B17" s="251">
        <v>14</v>
      </c>
      <c r="C17" s="249">
        <f>+'EUS 2023'!C17*'EUS 2024'!$A$1</f>
        <v>382596.41717452661</v>
      </c>
      <c r="D17" s="249">
        <f>+'EUS 2023'!D17*'EUS 2024'!$A$1</f>
        <v>82256.356269818803</v>
      </c>
      <c r="E17" s="249">
        <f>+'EUS 2023'!E17*'EUS 2024'!$A$1</f>
        <v>184102.60642967385</v>
      </c>
      <c r="F17" s="249">
        <f>+'EUS 2023'!F17*'EUS 2024'!$A$1</f>
        <v>107127.4479248798</v>
      </c>
      <c r="G17" s="249">
        <f>+'EUS 2023'!G17*'EUS 2024'!$A$1</f>
        <v>35823.357855648712</v>
      </c>
      <c r="H17" s="249">
        <f>+'EUS 2023'!H17*'EUS 2024'!$A$1</f>
        <v>94179.615445960022</v>
      </c>
      <c r="I17" s="249">
        <f>+'EUS 2023'!I17*'EUS 2024'!$A$1</f>
        <v>13356.231935483926</v>
      </c>
      <c r="J17" s="249">
        <f>+'EUS 2023'!J17*'EUS 2024'!$A$1</f>
        <v>68512.872862053438</v>
      </c>
      <c r="K17" s="249">
        <f>+'EUS 2023'!K17*'EUS 2024'!$A$1</f>
        <v>0</v>
      </c>
      <c r="L17" s="249">
        <f>+'EUS 2023'!L17*'EUS 2024'!$A$1</f>
        <v>0</v>
      </c>
      <c r="M17" s="249">
        <f>+'EUS 2023'!M17*'EUS 2024'!$A$1</f>
        <v>0</v>
      </c>
      <c r="N17" s="249">
        <f>+'EUS 2023'!N17*'EUS 2024'!$A$1</f>
        <v>0</v>
      </c>
      <c r="O17" s="249">
        <f>+'EUS 2023'!O17*'EUS 2024'!$A$1</f>
        <v>0</v>
      </c>
      <c r="P17" s="254">
        <f>+'EUS 2023'!P17*'EUS 2024'!$A$1</f>
        <v>967953.5239647649</v>
      </c>
      <c r="Q17" s="276">
        <f>+'EUS 2022'!Q17*'EUS 2023'!$B$1</f>
        <v>0</v>
      </c>
      <c r="R17" s="245">
        <f t="shared" si="0"/>
        <v>14</v>
      </c>
      <c r="S17" s="222">
        <f t="shared" si="1"/>
        <v>774362.81917181192</v>
      </c>
    </row>
    <row r="18" spans="1:20" x14ac:dyDescent="0.25">
      <c r="A18" s="220"/>
      <c r="B18" s="251">
        <v>15</v>
      </c>
      <c r="C18" s="249">
        <f>+'EUS 2023'!C18*'EUS 2024'!$A$1</f>
        <v>354282.39057890454</v>
      </c>
      <c r="D18" s="249">
        <f>+'EUS 2023'!D18*'EUS 2024'!$A$1</f>
        <v>76169.108499032067</v>
      </c>
      <c r="E18" s="249">
        <f>+'EUS 2023'!E18*'EUS 2024'!$A$1</f>
        <v>147874.84594343093</v>
      </c>
      <c r="F18" s="249">
        <f>+'EUS 2023'!F18*'EUS 2024'!$A$1</f>
        <v>99199.108663659514</v>
      </c>
      <c r="G18" s="249">
        <f>+'EUS 2023'!G18*'EUS 2024'!$A$1</f>
        <v>27780.006803558492</v>
      </c>
      <c r="H18" s="249">
        <f>+'EUS 2023'!H18*'EUS 2024'!$A$1</f>
        <v>81103.476481090809</v>
      </c>
      <c r="I18" s="249">
        <f>+'EUS 2023'!I18*'EUS 2024'!$A$1</f>
        <v>10451.242355196337</v>
      </c>
      <c r="J18" s="249">
        <f>+'EUS 2023'!J18*'EUS 2024'!$A$1</f>
        <v>68512.872862053438</v>
      </c>
      <c r="K18" s="249">
        <f>+'EUS 2023'!K18*'EUS 2024'!$A$1</f>
        <v>0</v>
      </c>
      <c r="L18" s="249">
        <f>+'EUS 2023'!L18*'EUS 2024'!$A$1</f>
        <v>0</v>
      </c>
      <c r="M18" s="249">
        <f>+'EUS 2023'!M18*'EUS 2024'!$A$1</f>
        <v>0</v>
      </c>
      <c r="N18" s="249">
        <f>+'EUS 2023'!N18*'EUS 2024'!$A$1</f>
        <v>0</v>
      </c>
      <c r="O18" s="249">
        <f>+'EUS 2023'!O18*'EUS 2024'!$A$1</f>
        <v>0</v>
      </c>
      <c r="P18" s="254">
        <f>+'EUS 2023'!P18*'EUS 2024'!$A$1</f>
        <v>865371.88402692613</v>
      </c>
      <c r="Q18" s="276">
        <f>+'EUS 2022'!Q18*'EUS 2023'!$B$1</f>
        <v>0</v>
      </c>
      <c r="R18" s="245">
        <f t="shared" si="0"/>
        <v>15</v>
      </c>
      <c r="S18" s="222">
        <f t="shared" si="1"/>
        <v>692297.5072215409</v>
      </c>
    </row>
    <row r="19" spans="1:20" x14ac:dyDescent="0.25">
      <c r="A19" s="220"/>
      <c r="B19" s="251">
        <v>16</v>
      </c>
      <c r="C19" s="249">
        <f>+'EUS 2023'!C19*'EUS 2024'!$A$1</f>
        <v>327975.98984450079</v>
      </c>
      <c r="D19" s="249">
        <f>+'EUS 2023'!D19*'EUS 2024'!$A$1</f>
        <v>70514.981754068693</v>
      </c>
      <c r="E19" s="249">
        <f>+'EUS 2023'!E19*'EUS 2024'!$A$1</f>
        <v>145230.32149270861</v>
      </c>
      <c r="F19" s="249">
        <f>+'EUS 2023'!F19*'EUS 2024'!$A$1</f>
        <v>91833.434179188582</v>
      </c>
      <c r="G19" s="249">
        <f>+'EUS 2023'!G19*'EUS 2024'!$A$1</f>
        <v>27056.393730204003</v>
      </c>
      <c r="H19" s="249">
        <f>+'EUS 2023'!H19*'EUS 2024'!$A$1</f>
        <v>85446.603806690968</v>
      </c>
      <c r="I19" s="249">
        <f>+'EUS 2023'!I19*'EUS 2024'!$A$1</f>
        <v>10152.75665572548</v>
      </c>
      <c r="J19" s="249">
        <f>+'EUS 2023'!J19*'EUS 2024'!$A$1</f>
        <v>68512.872862053438</v>
      </c>
      <c r="K19" s="249">
        <f>+'EUS 2023'!K19*'EUS 2024'!$A$1</f>
        <v>0</v>
      </c>
      <c r="L19" s="249">
        <f>+'EUS 2023'!L19*'EUS 2024'!$A$1</f>
        <v>0</v>
      </c>
      <c r="M19" s="249">
        <f>+'EUS 2023'!M19*'EUS 2024'!$A$1</f>
        <v>0</v>
      </c>
      <c r="N19" s="249">
        <f>+'EUS 2023'!N19*'EUS 2024'!$A$1</f>
        <v>0</v>
      </c>
      <c r="O19" s="249">
        <f>+'EUS 2023'!O19*'EUS 2024'!$A$1</f>
        <v>0</v>
      </c>
      <c r="P19" s="254">
        <f>+'EUS 2023'!P19*'EUS 2024'!$A$1</f>
        <v>826724.66500066046</v>
      </c>
      <c r="Q19" s="276">
        <f>+'EUS 2022'!Q19*'EUS 2023'!$B$1</f>
        <v>0</v>
      </c>
      <c r="R19" s="245">
        <f>+R20-1</f>
        <v>16</v>
      </c>
      <c r="S19" s="222">
        <f t="shared" si="1"/>
        <v>661379.73200052837</v>
      </c>
      <c r="T19" s="222"/>
    </row>
    <row r="20" spans="1:20" x14ac:dyDescent="0.25">
      <c r="A20" s="220"/>
      <c r="B20" s="251">
        <v>17</v>
      </c>
      <c r="C20" s="249">
        <f>+'EUS 2023'!C20*'EUS 2024'!$A$1</f>
        <v>303691.18548042502</v>
      </c>
      <c r="D20" s="249">
        <f>+'EUS 2023'!D20*'EUS 2024'!$A$1</f>
        <v>65292.667512192078</v>
      </c>
      <c r="E20" s="249">
        <f>+'EUS 2023'!E20*'EUS 2024'!$A$1</f>
        <v>112286.95307539837</v>
      </c>
      <c r="F20" s="249">
        <f>+'EUS 2023'!F20*'EUS 2024'!$A$1</f>
        <v>85033.041516940342</v>
      </c>
      <c r="G20" s="249">
        <f>+'EUS 2023'!G20*'EUS 2024'!$A$1</f>
        <v>19499.465458472368</v>
      </c>
      <c r="H20" s="249">
        <f>+'EUS 2023'!H20*'EUS 2024'!$A$1</f>
        <v>79492.896612800134</v>
      </c>
      <c r="I20" s="249">
        <f>+'EUS 2023'!I20*'EUS 2024'!$A$1</f>
        <v>7279.4523465901784</v>
      </c>
      <c r="J20" s="249">
        <f>+'EUS 2023'!J20*'EUS 2024'!$A$1</f>
        <v>68512.872862053438</v>
      </c>
      <c r="K20" s="249">
        <f>+'EUS 2023'!K20*'EUS 2024'!$A$1</f>
        <v>0</v>
      </c>
      <c r="L20" s="249">
        <f>+'EUS 2023'!L20*'EUS 2024'!$A$1</f>
        <v>0</v>
      </c>
      <c r="M20" s="249">
        <f>+'EUS 2023'!M20*'EUS 2024'!$A$1</f>
        <v>0</v>
      </c>
      <c r="N20" s="249">
        <f>+'EUS 2023'!N20*'EUS 2024'!$A$1</f>
        <v>0</v>
      </c>
      <c r="O20" s="249">
        <f>+'EUS 2023'!O20*'EUS 2024'!$A$1</f>
        <v>0</v>
      </c>
      <c r="P20" s="254">
        <f>+'EUS 2023'!P20*'EUS 2024'!$A$1</f>
        <v>741089.703024872</v>
      </c>
      <c r="Q20" s="276">
        <f>+'EUS 2022'!Q20*'EUS 2023'!$B$1</f>
        <v>0</v>
      </c>
      <c r="R20" s="245">
        <v>17</v>
      </c>
      <c r="S20" s="222">
        <f t="shared" si="1"/>
        <v>592871.7624198976</v>
      </c>
      <c r="T20" s="266"/>
    </row>
    <row r="21" spans="1:20" x14ac:dyDescent="0.25">
      <c r="A21" s="220"/>
      <c r="B21" s="251">
        <v>18</v>
      </c>
      <c r="C21" s="240">
        <f>+'EUS 2022'!C21*'EUS 2023'!$B$1</f>
        <v>0</v>
      </c>
      <c r="D21" s="240">
        <f>+'EUS 2023'!D21*'EUS 2024'!$A$1</f>
        <v>0</v>
      </c>
      <c r="E21" s="240">
        <f>+'EUS 2022'!E21*'EUS 2023'!$B$1</f>
        <v>0</v>
      </c>
      <c r="F21" s="240">
        <f>+'EUS 2022'!F21*'EUS 2023'!$B$1</f>
        <v>0</v>
      </c>
      <c r="G21" s="240">
        <f>+'EUS 2022'!G21*'EUS 2023'!$B$1</f>
        <v>0</v>
      </c>
      <c r="H21" s="240">
        <f>+'EUS 2022'!H21*'EUS 2023'!$B$1</f>
        <v>0</v>
      </c>
      <c r="I21" s="240">
        <f>+'EUS 2022'!I21*'EUS 2023'!$B$1</f>
        <v>0</v>
      </c>
      <c r="J21" s="240">
        <f>+'EUS 2022'!J21*'EUS 2023'!$B$1</f>
        <v>0</v>
      </c>
      <c r="K21" s="240">
        <f>+'EUS 2022'!K21*'EUS 2023'!$B$1</f>
        <v>0</v>
      </c>
      <c r="L21" s="240">
        <f>+'EUS 2022'!L21*'EUS 2023'!$B$1</f>
        <v>0</v>
      </c>
      <c r="M21" s="240">
        <f>+'EUS 2022'!M21*'EUS 2023'!$B$1</f>
        <v>0</v>
      </c>
      <c r="N21" s="240">
        <f>+'EUS 2022'!N21*'EUS 2023'!$B$1</f>
        <v>0</v>
      </c>
      <c r="O21" s="240">
        <f>+'EUS 2022'!O21*'EUS 2023'!$B$1</f>
        <v>0</v>
      </c>
      <c r="P21" s="254">
        <f>+'EUS 2022'!P21*'EUS 2023'!$B$1</f>
        <v>0</v>
      </c>
      <c r="Q21" s="276">
        <f>+'EUS 2022'!Q21*'EUS 2023'!$B$1</f>
        <v>0</v>
      </c>
      <c r="R21" s="245"/>
      <c r="S21" s="265"/>
      <c r="T21" s="265"/>
    </row>
    <row r="22" spans="1:20" x14ac:dyDescent="0.25">
      <c r="A22" s="220"/>
      <c r="B22" s="251">
        <v>19</v>
      </c>
      <c r="C22" s="240">
        <f>+'EUS 2022'!C22*'EUS 2023'!$B$1</f>
        <v>0</v>
      </c>
      <c r="D22" s="240">
        <f>+'EUS 2023'!D22*'EUS 2024'!$A$1</f>
        <v>0</v>
      </c>
      <c r="E22" s="240">
        <f>+'EUS 2022'!E22*'EUS 2023'!$B$1</f>
        <v>0</v>
      </c>
      <c r="F22" s="240">
        <f>+'EUS 2022'!F22*'EUS 2023'!$B$1</f>
        <v>0</v>
      </c>
      <c r="G22" s="240">
        <f>+'EUS 2022'!G22*'EUS 2023'!$B$1</f>
        <v>0</v>
      </c>
      <c r="H22" s="240">
        <f>+'EUS 2022'!H22*'EUS 2023'!$B$1</f>
        <v>0</v>
      </c>
      <c r="I22" s="240">
        <f>+'EUS 2022'!I22*'EUS 2023'!$B$1</f>
        <v>0</v>
      </c>
      <c r="J22" s="240">
        <f>+'EUS 2022'!J22*'EUS 2023'!$B$1</f>
        <v>0</v>
      </c>
      <c r="K22" s="240">
        <f>+'EUS 2022'!K22*'EUS 2023'!$B$1</f>
        <v>0</v>
      </c>
      <c r="L22" s="240">
        <f>+'EUS 2022'!L22*'EUS 2023'!$B$1</f>
        <v>0</v>
      </c>
      <c r="M22" s="240">
        <f>+'EUS 2022'!M22*'EUS 2023'!$B$1</f>
        <v>0</v>
      </c>
      <c r="N22" s="240">
        <f>+'EUS 2022'!N22*'EUS 2023'!$B$1</f>
        <v>0</v>
      </c>
      <c r="O22" s="240">
        <f>+'EUS 2022'!O22*'EUS 2023'!$B$1</f>
        <v>0</v>
      </c>
      <c r="P22" s="254">
        <f>+'EUS 2022'!P22*'EUS 2023'!$B$1</f>
        <v>0</v>
      </c>
      <c r="Q22" s="276">
        <f>+'EUS 2022'!Q22*'EUS 2023'!$B$1</f>
        <v>0</v>
      </c>
      <c r="R22" s="245"/>
      <c r="S22" s="265"/>
      <c r="T22" s="265"/>
    </row>
    <row r="23" spans="1:20" x14ac:dyDescent="0.25">
      <c r="A23" s="220"/>
      <c r="B23" s="251">
        <v>20</v>
      </c>
      <c r="C23" s="240">
        <f>+'EUS 2022'!C23*'EUS 2023'!$B$1</f>
        <v>0</v>
      </c>
      <c r="D23" s="240">
        <f>+'EUS 2023'!D23*'EUS 2024'!$A$1</f>
        <v>0</v>
      </c>
      <c r="E23" s="240">
        <f>+'EUS 2022'!E23*'EUS 2023'!$B$1</f>
        <v>0</v>
      </c>
      <c r="F23" s="240">
        <f>+'EUS 2022'!F23*'EUS 2023'!$B$1</f>
        <v>0</v>
      </c>
      <c r="G23" s="240">
        <f>+'EUS 2022'!G23*'EUS 2023'!$B$1</f>
        <v>0</v>
      </c>
      <c r="H23" s="240">
        <f>+'EUS 2022'!H23*'EUS 2023'!$B$1</f>
        <v>0</v>
      </c>
      <c r="I23" s="240">
        <f>+'EUS 2022'!I23*'EUS 2023'!$B$1</f>
        <v>0</v>
      </c>
      <c r="J23" s="240">
        <f>+'EUS 2022'!J23*'EUS 2023'!$B$1</f>
        <v>0</v>
      </c>
      <c r="K23" s="240">
        <f>+'EUS 2022'!K23*'EUS 2023'!$B$1</f>
        <v>0</v>
      </c>
      <c r="L23" s="240">
        <f>+'EUS 2022'!L23*'EUS 2023'!$B$1</f>
        <v>0</v>
      </c>
      <c r="M23" s="240">
        <f>+'EUS 2022'!M23*'EUS 2023'!$B$1</f>
        <v>0</v>
      </c>
      <c r="N23" s="240">
        <f>+'EUS 2022'!N23*'EUS 2023'!$B$1</f>
        <v>0</v>
      </c>
      <c r="O23" s="240">
        <f>+'EUS 2022'!O23*'EUS 2023'!$B$1</f>
        <v>0</v>
      </c>
      <c r="P23" s="254">
        <f>+'EUS 2022'!P23*'EUS 2023'!$B$1</f>
        <v>0</v>
      </c>
      <c r="Q23" s="276">
        <f>+'EUS 2022'!Q23*'EUS 2023'!$B$1</f>
        <v>0</v>
      </c>
      <c r="R23" s="245"/>
      <c r="S23" s="267"/>
      <c r="T23" s="265"/>
    </row>
    <row r="24" spans="1:20" x14ac:dyDescent="0.25">
      <c r="S24" s="265"/>
      <c r="T24" s="266"/>
    </row>
    <row r="25" spans="1:20" x14ac:dyDescent="0.25">
      <c r="C25" s="222"/>
    </row>
    <row r="26" spans="1:20" x14ac:dyDescent="0.25">
      <c r="P26" s="222"/>
    </row>
    <row r="27" spans="1:20" x14ac:dyDescent="0.25">
      <c r="Q27" s="222"/>
    </row>
    <row r="28" spans="1:20" ht="13.5" thickBot="1" x14ac:dyDescent="0.3"/>
    <row r="29" spans="1:20" ht="13.5" thickBot="1" x14ac:dyDescent="0.3">
      <c r="A29" s="347" t="s">
        <v>95</v>
      </c>
      <c r="B29" s="348"/>
      <c r="C29" s="348"/>
      <c r="D29" s="348"/>
      <c r="E29" s="348"/>
      <c r="F29" s="349"/>
      <c r="H29" s="347" t="s">
        <v>14</v>
      </c>
      <c r="I29" s="348"/>
      <c r="J29" s="348"/>
      <c r="K29" s="348"/>
      <c r="L29" s="348"/>
      <c r="M29" s="348"/>
      <c r="N29" s="348"/>
      <c r="O29" s="348"/>
      <c r="P29" s="348"/>
      <c r="Q29" s="348"/>
      <c r="R29" s="349"/>
    </row>
    <row r="30" spans="1:20" ht="13.5" thickBot="1" x14ac:dyDescent="0.3">
      <c r="O30" s="269" t="s">
        <v>81</v>
      </c>
      <c r="P30" s="271" t="s">
        <v>82</v>
      </c>
      <c r="Q30" s="270" t="s">
        <v>83</v>
      </c>
    </row>
    <row r="31" spans="1:20" x14ac:dyDescent="0.25">
      <c r="A31" s="344" t="s">
        <v>15</v>
      </c>
      <c r="B31" s="344" t="s">
        <v>16</v>
      </c>
      <c r="C31" s="344" t="s">
        <v>67</v>
      </c>
      <c r="D31" s="337" t="s">
        <v>18</v>
      </c>
      <c r="E31" s="338"/>
      <c r="F31" s="339"/>
      <c r="G31" s="223"/>
      <c r="H31" s="344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50"/>
      <c r="P31" s="350"/>
      <c r="Q31" s="350"/>
      <c r="R31" s="339"/>
    </row>
    <row r="32" spans="1:20" x14ac:dyDescent="0.25">
      <c r="A32" s="345"/>
      <c r="B32" s="345"/>
      <c r="C32" s="345"/>
      <c r="D32" s="224" t="s">
        <v>23</v>
      </c>
      <c r="E32" s="224">
        <v>0.25</v>
      </c>
      <c r="F32" s="225">
        <v>0.5</v>
      </c>
      <c r="G32" s="223"/>
      <c r="H32" s="345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64">
        <v>0.30599999999999999</v>
      </c>
      <c r="S32" s="262"/>
    </row>
    <row r="33" spans="1:19" x14ac:dyDescent="0.25">
      <c r="A33" s="224">
        <v>1</v>
      </c>
      <c r="B33" s="245">
        <f>VLOOKUP(A33,B3:C23,2,0)</f>
        <v>801258.24828359042</v>
      </c>
      <c r="C33" s="245">
        <f>VLOOKUP(A33,B3:E23,4,0)</f>
        <v>2975980.5920106261</v>
      </c>
      <c r="D33" s="245">
        <f>ROUND((B33+C33)/190,0)</f>
        <v>19880</v>
      </c>
      <c r="E33" s="246">
        <f>ROUND(D33*1.25,0)</f>
        <v>24850</v>
      </c>
      <c r="F33" s="246">
        <f>ROUND(D33*1.5,0)</f>
        <v>29820</v>
      </c>
      <c r="H33" s="224">
        <v>1</v>
      </c>
      <c r="I33" s="245">
        <f t="shared" ref="I33:I52" si="2">VLOOKUP(H33,B4:C23,2,0)</f>
        <v>801258.24828359042</v>
      </c>
      <c r="J33" s="245">
        <f t="shared" ref="J33:J52" si="3">VLOOKUP(H33,B4:E23,4,0)</f>
        <v>2975980.5920106261</v>
      </c>
      <c r="K33" s="245">
        <f>VLOOKUP(H33,B4:H23,7,0)</f>
        <v>24770.012801249704</v>
      </c>
      <c r="L33" s="245">
        <f>VLOOKUP(H33,B4:J23,9,0)</f>
        <v>0</v>
      </c>
      <c r="M33" s="241">
        <f>SUM(I33:L33)</f>
        <v>3802008.8530954663</v>
      </c>
      <c r="N33" s="247">
        <f>ROUND(M33*0.306,0)</f>
        <v>1163415</v>
      </c>
      <c r="O33" s="248">
        <f>ROUND($M33*$O$32*3,0)</f>
        <v>1710904</v>
      </c>
      <c r="P33" s="248">
        <f>ROUND($M33*$P$32*3,0)</f>
        <v>866858</v>
      </c>
      <c r="Q33" s="248">
        <f>ROUND($M33*$Q$32*3,0)</f>
        <v>912482</v>
      </c>
      <c r="R33" s="249">
        <f>SUM(O33:Q33)</f>
        <v>3490244</v>
      </c>
      <c r="S33" s="245">
        <f t="shared" ref="S33:S47" si="4">+S34-1</f>
        <v>1</v>
      </c>
    </row>
    <row r="34" spans="1:19" x14ac:dyDescent="0.25">
      <c r="A34" s="224">
        <v>2</v>
      </c>
      <c r="B34" s="245">
        <f>VLOOKUP(A34,B4:C24,2,0)</f>
        <v>756258.93351089244</v>
      </c>
      <c r="C34" s="245">
        <f>VLOOKUP(A34,B4:E24,4,0)</f>
        <v>2847147.2093105749</v>
      </c>
      <c r="D34" s="245">
        <f t="shared" ref="D34:D52" si="5">ROUND((B34+C34)/190,0)</f>
        <v>18965</v>
      </c>
      <c r="E34" s="246">
        <f t="shared" ref="E34:E52" si="6">ROUND(D34*1.25,0)</f>
        <v>23706</v>
      </c>
      <c r="F34" s="246">
        <f t="shared" ref="F34:F52" si="7">ROUND(D34*1.5,0)</f>
        <v>28448</v>
      </c>
      <c r="H34" s="224">
        <v>2</v>
      </c>
      <c r="I34" s="245">
        <f t="shared" si="2"/>
        <v>756258.93351089244</v>
      </c>
      <c r="J34" s="245">
        <f t="shared" si="3"/>
        <v>2847147.2093105749</v>
      </c>
      <c r="K34" s="245">
        <f>VLOOKUP(H34,B5:H24,7,0)</f>
        <v>24770.012801249704</v>
      </c>
      <c r="L34" s="245">
        <f t="shared" ref="L34:L52" si="8">VLOOKUP(H34,B5:J24,9,0)</f>
        <v>0</v>
      </c>
      <c r="M34" s="241">
        <f t="shared" ref="M34:M52" si="9">SUM(I34:L34)</f>
        <v>3628176.155622717</v>
      </c>
      <c r="N34" s="247">
        <f t="shared" ref="N34:N52" si="10">ROUND(M34*0.306,0)</f>
        <v>1110222</v>
      </c>
      <c r="O34" s="248">
        <f t="shared" ref="O34:O52" si="11">ROUND($M34*$O$32*3,0)</f>
        <v>1632679</v>
      </c>
      <c r="P34" s="248">
        <f t="shared" ref="P34:P52" si="12">ROUND($M34*$P$32*3,0)</f>
        <v>827224</v>
      </c>
      <c r="Q34" s="248">
        <f t="shared" ref="Q34:Q52" si="13">ROUND($M34*$Q$32*3,0)</f>
        <v>870762</v>
      </c>
      <c r="R34" s="249">
        <f t="shared" ref="R34:R52" si="14">SUM(O34:Q34)</f>
        <v>3330665</v>
      </c>
      <c r="S34" s="245">
        <f t="shared" si="4"/>
        <v>2</v>
      </c>
    </row>
    <row r="35" spans="1:19" x14ac:dyDescent="0.25">
      <c r="A35" s="224">
        <v>3</v>
      </c>
      <c r="B35" s="245">
        <f>VLOOKUP(A35,B4:C24,2,0)</f>
        <v>798484.33958590601</v>
      </c>
      <c r="C35" s="245">
        <f>VLOOKUP(A35,B4:E24,4,0)</f>
        <v>2347761.0167275979</v>
      </c>
      <c r="D35" s="245">
        <f t="shared" si="5"/>
        <v>16559</v>
      </c>
      <c r="E35" s="246">
        <f t="shared" si="6"/>
        <v>20699</v>
      </c>
      <c r="F35" s="246">
        <f t="shared" si="7"/>
        <v>24839</v>
      </c>
      <c r="H35" s="224">
        <v>3</v>
      </c>
      <c r="I35" s="245">
        <f t="shared" si="2"/>
        <v>798484.33958590601</v>
      </c>
      <c r="J35" s="245">
        <f t="shared" si="3"/>
        <v>2347761.0167275979</v>
      </c>
      <c r="K35" s="245">
        <f t="shared" ref="K35:K52" si="15">VLOOKUP(H35,B6:H25,7,0)</f>
        <v>24770.012801249704</v>
      </c>
      <c r="L35" s="245">
        <f t="shared" si="8"/>
        <v>33977.312034334071</v>
      </c>
      <c r="M35" s="241">
        <f t="shared" si="9"/>
        <v>3204992.6811490874</v>
      </c>
      <c r="N35" s="247">
        <f t="shared" si="10"/>
        <v>980728</v>
      </c>
      <c r="O35" s="248">
        <f t="shared" si="11"/>
        <v>1442247</v>
      </c>
      <c r="P35" s="248">
        <f t="shared" si="12"/>
        <v>730738</v>
      </c>
      <c r="Q35" s="248">
        <f t="shared" si="13"/>
        <v>769198</v>
      </c>
      <c r="R35" s="249">
        <f t="shared" si="14"/>
        <v>2942183</v>
      </c>
      <c r="S35" s="245">
        <f t="shared" si="4"/>
        <v>3</v>
      </c>
    </row>
    <row r="36" spans="1:19" x14ac:dyDescent="0.25">
      <c r="A36" s="224">
        <v>4</v>
      </c>
      <c r="B36" s="245">
        <f>VLOOKUP(A36,B4:C24,2,0)</f>
        <v>753308.6253812128</v>
      </c>
      <c r="C36" s="245">
        <f>VLOOKUP(A36,B4:E24,4,0)</f>
        <v>2277840.0435623634</v>
      </c>
      <c r="D36" s="245">
        <f t="shared" si="5"/>
        <v>15953</v>
      </c>
      <c r="E36" s="246">
        <f t="shared" si="6"/>
        <v>19941</v>
      </c>
      <c r="F36" s="246">
        <f t="shared" si="7"/>
        <v>23930</v>
      </c>
      <c r="H36" s="224">
        <v>4</v>
      </c>
      <c r="I36" s="245">
        <f t="shared" si="2"/>
        <v>753308.6253812128</v>
      </c>
      <c r="J36" s="245">
        <f t="shared" si="3"/>
        <v>2277840.0435623634</v>
      </c>
      <c r="K36" s="245">
        <f>VLOOKUP(H36,B7:H26,7,0)</f>
        <v>24770.012801249704</v>
      </c>
      <c r="L36" s="245">
        <f t="shared" si="8"/>
        <v>33977.312034334071</v>
      </c>
      <c r="M36" s="241">
        <f t="shared" si="9"/>
        <v>3089895.9937791596</v>
      </c>
      <c r="N36" s="247">
        <f t="shared" si="10"/>
        <v>945508</v>
      </c>
      <c r="O36" s="248">
        <f t="shared" si="11"/>
        <v>1390453</v>
      </c>
      <c r="P36" s="248">
        <f t="shared" si="12"/>
        <v>704496</v>
      </c>
      <c r="Q36" s="248">
        <f t="shared" si="13"/>
        <v>741575</v>
      </c>
      <c r="R36" s="249">
        <f t="shared" si="14"/>
        <v>2836524</v>
      </c>
      <c r="S36" s="245">
        <f t="shared" si="4"/>
        <v>4</v>
      </c>
    </row>
    <row r="37" spans="1:19" x14ac:dyDescent="0.25">
      <c r="A37" s="224">
        <v>5</v>
      </c>
      <c r="B37" s="245">
        <f>VLOOKUP(A37,B4:C24,2,0)</f>
        <v>710693.87114040367</v>
      </c>
      <c r="C37" s="245">
        <f>VLOOKUP(A37,B4:E24,4,0)</f>
        <v>1957749.5417552688</v>
      </c>
      <c r="D37" s="245">
        <f t="shared" si="5"/>
        <v>14044</v>
      </c>
      <c r="E37" s="246">
        <f t="shared" si="6"/>
        <v>17555</v>
      </c>
      <c r="F37" s="246">
        <f t="shared" si="7"/>
        <v>21066</v>
      </c>
      <c r="H37" s="224">
        <v>5</v>
      </c>
      <c r="I37" s="245">
        <f t="shared" si="2"/>
        <v>710693.87114040367</v>
      </c>
      <c r="J37" s="245">
        <f t="shared" si="3"/>
        <v>1957749.5417552688</v>
      </c>
      <c r="K37" s="245">
        <f>VLOOKUP(H37,B8:H27,7,0)</f>
        <v>24770.012801249704</v>
      </c>
      <c r="L37" s="245">
        <f t="shared" si="8"/>
        <v>33977.312034334071</v>
      </c>
      <c r="M37" s="241">
        <f t="shared" si="9"/>
        <v>2727190.7377312561</v>
      </c>
      <c r="N37" s="247">
        <f t="shared" si="10"/>
        <v>834520</v>
      </c>
      <c r="O37" s="248">
        <f t="shared" si="11"/>
        <v>1227236</v>
      </c>
      <c r="P37" s="248">
        <f t="shared" si="12"/>
        <v>621799</v>
      </c>
      <c r="Q37" s="248">
        <f t="shared" si="13"/>
        <v>654526</v>
      </c>
      <c r="R37" s="249">
        <f t="shared" si="14"/>
        <v>2503561</v>
      </c>
      <c r="S37" s="245">
        <f t="shared" si="4"/>
        <v>5</v>
      </c>
    </row>
    <row r="38" spans="1:19" x14ac:dyDescent="0.25">
      <c r="A38" s="224">
        <v>6</v>
      </c>
      <c r="B38" s="245">
        <f>VLOOKUP(A38,B4:C24,2,0)</f>
        <v>670412.85684333392</v>
      </c>
      <c r="C38" s="245">
        <f>VLOOKUP(A38,B4:E24,4,0)</f>
        <v>1654453.2249080176</v>
      </c>
      <c r="D38" s="245">
        <f t="shared" si="5"/>
        <v>12236</v>
      </c>
      <c r="E38" s="246">
        <f t="shared" si="6"/>
        <v>15295</v>
      </c>
      <c r="F38" s="246">
        <f t="shared" si="7"/>
        <v>18354</v>
      </c>
      <c r="H38" s="224">
        <v>6</v>
      </c>
      <c r="I38" s="245">
        <f t="shared" si="2"/>
        <v>670412.85684333392</v>
      </c>
      <c r="J38" s="245">
        <f t="shared" si="3"/>
        <v>1654453.2249080176</v>
      </c>
      <c r="K38" s="245">
        <f t="shared" si="15"/>
        <v>24768.806582179699</v>
      </c>
      <c r="L38" s="245">
        <f t="shared" si="8"/>
        <v>39146.633697779995</v>
      </c>
      <c r="M38" s="241">
        <f t="shared" si="9"/>
        <v>2388781.5220313109</v>
      </c>
      <c r="N38" s="247">
        <f t="shared" si="10"/>
        <v>730967</v>
      </c>
      <c r="O38" s="248">
        <f t="shared" si="11"/>
        <v>1074952</v>
      </c>
      <c r="P38" s="248">
        <f t="shared" si="12"/>
        <v>544642</v>
      </c>
      <c r="Q38" s="248">
        <f t="shared" si="13"/>
        <v>573308</v>
      </c>
      <c r="R38" s="249">
        <f t="shared" si="14"/>
        <v>2192902</v>
      </c>
      <c r="S38" s="245">
        <f t="shared" si="4"/>
        <v>6</v>
      </c>
    </row>
    <row r="39" spans="1:19" x14ac:dyDescent="0.25">
      <c r="A39" s="224">
        <v>7</v>
      </c>
      <c r="B39" s="245">
        <f>VLOOKUP(A39,B4:C24,2,0)</f>
        <v>626487.78775315976</v>
      </c>
      <c r="C39" s="245">
        <f>VLOOKUP(A39,B4:E24,4,0)</f>
        <v>1257845.0984389889</v>
      </c>
      <c r="D39" s="245">
        <f t="shared" si="5"/>
        <v>9918</v>
      </c>
      <c r="E39" s="246">
        <f t="shared" si="6"/>
        <v>12398</v>
      </c>
      <c r="F39" s="246">
        <f t="shared" si="7"/>
        <v>14877</v>
      </c>
      <c r="H39" s="224">
        <v>7</v>
      </c>
      <c r="I39" s="245">
        <f t="shared" si="2"/>
        <v>626487.78775315976</v>
      </c>
      <c r="J39" s="245">
        <f t="shared" si="3"/>
        <v>1257845.0984389889</v>
      </c>
      <c r="K39" s="245">
        <f>VLOOKUP(H39,B10:H29,7,0)</f>
        <v>25112.005088446447</v>
      </c>
      <c r="L39" s="245">
        <f t="shared" si="8"/>
        <v>39612.247536859526</v>
      </c>
      <c r="M39" s="241">
        <f t="shared" si="9"/>
        <v>1949057.1388174545</v>
      </c>
      <c r="N39" s="247">
        <f>ROUND(M39*0.306,0)</f>
        <v>596411</v>
      </c>
      <c r="O39" s="248">
        <f t="shared" si="11"/>
        <v>877076</v>
      </c>
      <c r="P39" s="248">
        <f t="shared" si="12"/>
        <v>444385</v>
      </c>
      <c r="Q39" s="248">
        <f t="shared" si="13"/>
        <v>467774</v>
      </c>
      <c r="R39" s="249">
        <f t="shared" si="14"/>
        <v>1789235</v>
      </c>
      <c r="S39" s="245">
        <f t="shared" si="4"/>
        <v>7</v>
      </c>
    </row>
    <row r="40" spans="1:19" x14ac:dyDescent="0.25">
      <c r="A40" s="224">
        <v>8</v>
      </c>
      <c r="B40" s="245">
        <f>VLOOKUP(A40,B4:C24,2,0)</f>
        <v>590965.27567788737</v>
      </c>
      <c r="C40" s="245">
        <f>VLOOKUP(A40,B4:E24,4,0)</f>
        <v>983969.16822907259</v>
      </c>
      <c r="D40" s="245">
        <f t="shared" si="5"/>
        <v>8289</v>
      </c>
      <c r="E40" s="246">
        <f t="shared" si="6"/>
        <v>10361</v>
      </c>
      <c r="F40" s="246">
        <f t="shared" si="7"/>
        <v>12434</v>
      </c>
      <c r="H40" s="224">
        <v>8</v>
      </c>
      <c r="I40" s="245">
        <f t="shared" si="2"/>
        <v>590965.27567788737</v>
      </c>
      <c r="J40" s="245">
        <f t="shared" si="3"/>
        <v>983969.16822907259</v>
      </c>
      <c r="K40" s="245">
        <f t="shared" si="15"/>
        <v>25585.346454200884</v>
      </c>
      <c r="L40" s="245">
        <f t="shared" si="8"/>
        <v>40358.906964637623</v>
      </c>
      <c r="M40" s="241">
        <f t="shared" si="9"/>
        <v>1640878.6973257985</v>
      </c>
      <c r="N40" s="247">
        <f>ROUND(M40*0.306,0)</f>
        <v>502109</v>
      </c>
      <c r="O40" s="248">
        <f>ROUND($M40*$O$32*3,0)</f>
        <v>738395</v>
      </c>
      <c r="P40" s="248">
        <f t="shared" si="12"/>
        <v>374120</v>
      </c>
      <c r="Q40" s="248">
        <f t="shared" si="13"/>
        <v>393811</v>
      </c>
      <c r="R40" s="249">
        <f>SUM(O40:Q40)</f>
        <v>1506326</v>
      </c>
      <c r="S40" s="245">
        <f t="shared" si="4"/>
        <v>8</v>
      </c>
    </row>
    <row r="41" spans="1:19" x14ac:dyDescent="0.25">
      <c r="A41" s="224">
        <v>9</v>
      </c>
      <c r="B41" s="245">
        <f>VLOOKUP(A41,B4:C24,2,0)</f>
        <v>562193.8489269719</v>
      </c>
      <c r="C41" s="245">
        <f>VLOOKUP(A41,B4:E24,4,0)</f>
        <v>776871.18815294863</v>
      </c>
      <c r="D41" s="245">
        <f t="shared" si="5"/>
        <v>7048</v>
      </c>
      <c r="E41" s="246">
        <f t="shared" si="6"/>
        <v>8810</v>
      </c>
      <c r="F41" s="246">
        <f t="shared" si="7"/>
        <v>10572</v>
      </c>
      <c r="G41" s="222"/>
      <c r="H41" s="224">
        <v>9</v>
      </c>
      <c r="I41" s="245">
        <f t="shared" si="2"/>
        <v>562193.8489269719</v>
      </c>
      <c r="J41" s="245">
        <f t="shared" si="3"/>
        <v>776871.18815294863</v>
      </c>
      <c r="K41" s="245">
        <f>VLOOKUP(H41,B12:H31,7,0)</f>
        <v>26290.769719324213</v>
      </c>
      <c r="L41" s="245">
        <f t="shared" si="8"/>
        <v>41469.702569168934</v>
      </c>
      <c r="M41" s="241">
        <f t="shared" si="9"/>
        <v>1406825.5093684138</v>
      </c>
      <c r="N41" s="247">
        <f t="shared" si="10"/>
        <v>430489</v>
      </c>
      <c r="O41" s="248">
        <f t="shared" si="11"/>
        <v>633071</v>
      </c>
      <c r="P41" s="248">
        <f t="shared" si="12"/>
        <v>320756</v>
      </c>
      <c r="Q41" s="248">
        <f t="shared" si="13"/>
        <v>337638</v>
      </c>
      <c r="R41" s="249">
        <f>SUM(O41:Q41)</f>
        <v>1291465</v>
      </c>
      <c r="S41" s="245">
        <f t="shared" si="4"/>
        <v>9</v>
      </c>
    </row>
    <row r="42" spans="1:19" x14ac:dyDescent="0.25">
      <c r="A42" s="224">
        <v>10</v>
      </c>
      <c r="B42" s="245">
        <f>VLOOKUP(A42,B4:C24,2,0)</f>
        <v>520589.15904821706</v>
      </c>
      <c r="C42" s="245">
        <f>VLOOKUP(A42,B4:E24,4,0)</f>
        <v>587228.29645639798</v>
      </c>
      <c r="D42" s="245">
        <f t="shared" si="5"/>
        <v>5831</v>
      </c>
      <c r="E42" s="246">
        <f t="shared" si="6"/>
        <v>7289</v>
      </c>
      <c r="F42" s="246">
        <f t="shared" si="7"/>
        <v>8747</v>
      </c>
      <c r="H42" s="224">
        <v>10</v>
      </c>
      <c r="I42" s="245">
        <f t="shared" si="2"/>
        <v>520589.15904821706</v>
      </c>
      <c r="J42" s="245">
        <f t="shared" si="3"/>
        <v>587228.29645639798</v>
      </c>
      <c r="K42" s="245">
        <f>VLOOKUP(H42,B13:H32,7,0)</f>
        <v>26290.769719324213</v>
      </c>
      <c r="L42" s="245">
        <f t="shared" si="8"/>
        <v>41469.702569168934</v>
      </c>
      <c r="M42" s="241">
        <f t="shared" si="9"/>
        <v>1175577.9277931084</v>
      </c>
      <c r="N42" s="247">
        <f t="shared" si="10"/>
        <v>359727</v>
      </c>
      <c r="O42" s="248">
        <f t="shared" si="11"/>
        <v>529010</v>
      </c>
      <c r="P42" s="248">
        <f t="shared" si="12"/>
        <v>268032</v>
      </c>
      <c r="Q42" s="248">
        <f t="shared" si="13"/>
        <v>282139</v>
      </c>
      <c r="R42" s="249">
        <f t="shared" si="14"/>
        <v>1079181</v>
      </c>
      <c r="S42" s="245">
        <f t="shared" si="4"/>
        <v>10</v>
      </c>
    </row>
    <row r="43" spans="1:19" x14ac:dyDescent="0.25">
      <c r="A43" s="224">
        <v>11</v>
      </c>
      <c r="B43" s="245">
        <f>VLOOKUP(A43,B4:C24,2,0)</f>
        <v>482058.53890824801</v>
      </c>
      <c r="C43" s="245">
        <f>VLOOKUP(A43,B4:E24,4,0)</f>
        <v>443716.13442185661</v>
      </c>
      <c r="D43" s="245">
        <f t="shared" si="5"/>
        <v>4872</v>
      </c>
      <c r="E43" s="246">
        <f t="shared" si="6"/>
        <v>6090</v>
      </c>
      <c r="F43" s="246">
        <f t="shared" si="7"/>
        <v>7308</v>
      </c>
      <c r="H43" s="224">
        <v>11</v>
      </c>
      <c r="I43" s="245">
        <f t="shared" si="2"/>
        <v>482058.53890824801</v>
      </c>
      <c r="J43" s="245">
        <f t="shared" si="3"/>
        <v>443716.13442185661</v>
      </c>
      <c r="K43" s="245">
        <f>VLOOKUP(H43,B14:H33,7,0)</f>
        <v>26290.769719324213</v>
      </c>
      <c r="L43" s="245">
        <f t="shared" si="8"/>
        <v>41469.702569168934</v>
      </c>
      <c r="M43" s="241">
        <f t="shared" si="9"/>
        <v>993535.14561859774</v>
      </c>
      <c r="N43" s="247">
        <f t="shared" si="10"/>
        <v>304022</v>
      </c>
      <c r="O43" s="248">
        <f t="shared" si="11"/>
        <v>447091</v>
      </c>
      <c r="P43" s="248">
        <f t="shared" si="12"/>
        <v>226526</v>
      </c>
      <c r="Q43" s="248">
        <f t="shared" si="13"/>
        <v>238448</v>
      </c>
      <c r="R43" s="249">
        <f t="shared" si="14"/>
        <v>912065</v>
      </c>
      <c r="S43" s="245">
        <f t="shared" si="4"/>
        <v>11</v>
      </c>
    </row>
    <row r="44" spans="1:19" x14ac:dyDescent="0.25">
      <c r="A44" s="224">
        <v>12</v>
      </c>
      <c r="B44" s="245">
        <f>VLOOKUP(A44,B4:C24,2,0)</f>
        <v>446350.25979566248</v>
      </c>
      <c r="C44" s="245">
        <f>VLOOKUP(A44,B4:E24,4,0)</f>
        <v>327518.14509663463</v>
      </c>
      <c r="D44" s="245">
        <f t="shared" si="5"/>
        <v>4073</v>
      </c>
      <c r="E44" s="246">
        <f t="shared" si="6"/>
        <v>5091</v>
      </c>
      <c r="F44" s="246">
        <f t="shared" si="7"/>
        <v>6110</v>
      </c>
      <c r="H44" s="224">
        <v>12</v>
      </c>
      <c r="I44" s="245">
        <f t="shared" si="2"/>
        <v>446350.25979566248</v>
      </c>
      <c r="J44" s="245">
        <f t="shared" si="3"/>
        <v>327518.14509663463</v>
      </c>
      <c r="K44" s="245">
        <f>VLOOKUP(H44,B15:H34,7,0)</f>
        <v>97831.631146124739</v>
      </c>
      <c r="L44" s="245">
        <f t="shared" si="8"/>
        <v>68512.872862053438</v>
      </c>
      <c r="M44" s="241">
        <f>SUM(I44:L44)</f>
        <v>940212.90890047525</v>
      </c>
      <c r="N44" s="247">
        <f t="shared" si="10"/>
        <v>287705</v>
      </c>
      <c r="O44" s="248">
        <f t="shared" si="11"/>
        <v>423096</v>
      </c>
      <c r="P44" s="248">
        <f t="shared" si="12"/>
        <v>214369</v>
      </c>
      <c r="Q44" s="248">
        <f t="shared" si="13"/>
        <v>225651</v>
      </c>
      <c r="R44" s="249">
        <f t="shared" si="14"/>
        <v>863116</v>
      </c>
      <c r="S44" s="245">
        <f t="shared" si="4"/>
        <v>12</v>
      </c>
    </row>
    <row r="45" spans="1:19" x14ac:dyDescent="0.25">
      <c r="A45" s="224">
        <v>13</v>
      </c>
      <c r="B45" s="245">
        <f>VLOOKUP(A45,B4:C24,2,0)</f>
        <v>413272.04443150299</v>
      </c>
      <c r="C45" s="245">
        <f>VLOOKUP(A45,B4:E24,4,0)</f>
        <v>243722.8278785898</v>
      </c>
      <c r="D45" s="245">
        <f t="shared" si="5"/>
        <v>3458</v>
      </c>
      <c r="E45" s="246">
        <f t="shared" si="6"/>
        <v>4323</v>
      </c>
      <c r="F45" s="246">
        <f t="shared" si="7"/>
        <v>5187</v>
      </c>
      <c r="H45" s="224">
        <v>13</v>
      </c>
      <c r="I45" s="245">
        <f t="shared" si="2"/>
        <v>413272.04443150299</v>
      </c>
      <c r="J45" s="245">
        <f t="shared" si="3"/>
        <v>243722.8278785898</v>
      </c>
      <c r="K45" s="245">
        <f>VLOOKUP(H45,B16:H35,7,0)</f>
        <v>94939.72894598679</v>
      </c>
      <c r="L45" s="245">
        <f t="shared" si="8"/>
        <v>68512.872862053438</v>
      </c>
      <c r="M45" s="241">
        <f t="shared" si="9"/>
        <v>820447.47411813308</v>
      </c>
      <c r="N45" s="247">
        <f t="shared" si="10"/>
        <v>251057</v>
      </c>
      <c r="O45" s="248">
        <f t="shared" si="11"/>
        <v>369201</v>
      </c>
      <c r="P45" s="248">
        <f t="shared" si="12"/>
        <v>187062</v>
      </c>
      <c r="Q45" s="248">
        <f t="shared" si="13"/>
        <v>196907</v>
      </c>
      <c r="R45" s="249">
        <f t="shared" si="14"/>
        <v>753170</v>
      </c>
      <c r="S45" s="245">
        <f t="shared" si="4"/>
        <v>13</v>
      </c>
    </row>
    <row r="46" spans="1:19" x14ac:dyDescent="0.25">
      <c r="A46" s="224">
        <v>14</v>
      </c>
      <c r="B46" s="245">
        <f>VLOOKUP(A46,B4:C24,2,0)</f>
        <v>382596.41717452661</v>
      </c>
      <c r="C46" s="245">
        <f>VLOOKUP(A46,B4:E24,4,0)</f>
        <v>184102.60642967385</v>
      </c>
      <c r="D46" s="245">
        <f t="shared" si="5"/>
        <v>2983</v>
      </c>
      <c r="E46" s="246">
        <f t="shared" si="6"/>
        <v>3729</v>
      </c>
      <c r="F46" s="246">
        <f t="shared" si="7"/>
        <v>4475</v>
      </c>
      <c r="H46" s="224">
        <v>14</v>
      </c>
      <c r="I46" s="245">
        <f t="shared" si="2"/>
        <v>382596.41717452661</v>
      </c>
      <c r="J46" s="245">
        <f t="shared" si="3"/>
        <v>184102.60642967385</v>
      </c>
      <c r="K46" s="245">
        <f t="shared" si="15"/>
        <v>94179.615445960022</v>
      </c>
      <c r="L46" s="245">
        <f t="shared" si="8"/>
        <v>68512.872862053438</v>
      </c>
      <c r="M46" s="241">
        <f t="shared" si="9"/>
        <v>729391.51191221399</v>
      </c>
      <c r="N46" s="247">
        <f t="shared" si="10"/>
        <v>223194</v>
      </c>
      <c r="O46" s="248">
        <f t="shared" si="11"/>
        <v>328226</v>
      </c>
      <c r="P46" s="248">
        <f t="shared" si="12"/>
        <v>166301</v>
      </c>
      <c r="Q46" s="248">
        <f t="shared" si="13"/>
        <v>175054</v>
      </c>
      <c r="R46" s="249">
        <f t="shared" si="14"/>
        <v>669581</v>
      </c>
      <c r="S46" s="245">
        <f t="shared" si="4"/>
        <v>14</v>
      </c>
    </row>
    <row r="47" spans="1:19" x14ac:dyDescent="0.25">
      <c r="A47" s="224">
        <v>15</v>
      </c>
      <c r="B47" s="245">
        <f>VLOOKUP(A47,B4:C24,2,0)</f>
        <v>354282.39057890454</v>
      </c>
      <c r="C47" s="245">
        <f>VLOOKUP(A47,B4:E24,4,0)</f>
        <v>147874.84594343093</v>
      </c>
      <c r="D47" s="245">
        <f t="shared" si="5"/>
        <v>2643</v>
      </c>
      <c r="E47" s="246">
        <f t="shared" si="6"/>
        <v>3304</v>
      </c>
      <c r="F47" s="246">
        <f t="shared" si="7"/>
        <v>3965</v>
      </c>
      <c r="H47" s="224">
        <v>15</v>
      </c>
      <c r="I47" s="245">
        <f t="shared" si="2"/>
        <v>354282.39057890454</v>
      </c>
      <c r="J47" s="245">
        <f t="shared" si="3"/>
        <v>147874.84594343093</v>
      </c>
      <c r="K47" s="245">
        <f>VLOOKUP(H47,B18:H37,7,0)</f>
        <v>81103.476481090809</v>
      </c>
      <c r="L47" s="245">
        <f t="shared" si="8"/>
        <v>68512.872862053438</v>
      </c>
      <c r="M47" s="241">
        <f t="shared" si="9"/>
        <v>651773.58586547966</v>
      </c>
      <c r="N47" s="247">
        <f t="shared" si="10"/>
        <v>199443</v>
      </c>
      <c r="O47" s="248">
        <f t="shared" si="11"/>
        <v>293298</v>
      </c>
      <c r="P47" s="248">
        <f t="shared" si="12"/>
        <v>148604</v>
      </c>
      <c r="Q47" s="248">
        <f t="shared" si="13"/>
        <v>156426</v>
      </c>
      <c r="R47" s="249">
        <f t="shared" si="14"/>
        <v>598328</v>
      </c>
      <c r="S47" s="245">
        <f t="shared" si="4"/>
        <v>15</v>
      </c>
    </row>
    <row r="48" spans="1:19" x14ac:dyDescent="0.25">
      <c r="A48" s="224">
        <v>16</v>
      </c>
      <c r="B48" s="245">
        <f>VLOOKUP(A48,B4:C24,2,0)</f>
        <v>327975.98984450079</v>
      </c>
      <c r="C48" s="245">
        <f>VLOOKUP(A48,B4:E24,4,0)</f>
        <v>145230.32149270861</v>
      </c>
      <c r="D48" s="245">
        <f t="shared" si="5"/>
        <v>2491</v>
      </c>
      <c r="E48" s="246">
        <f t="shared" si="6"/>
        <v>3114</v>
      </c>
      <c r="F48" s="246">
        <f t="shared" si="7"/>
        <v>3737</v>
      </c>
      <c r="H48" s="224">
        <v>16</v>
      </c>
      <c r="I48" s="245">
        <f t="shared" si="2"/>
        <v>327975.98984450079</v>
      </c>
      <c r="J48" s="245">
        <f t="shared" si="3"/>
        <v>145230.32149270861</v>
      </c>
      <c r="K48" s="245">
        <f>VLOOKUP(H48,B19:H38,7,0)</f>
        <v>85446.603806690968</v>
      </c>
      <c r="L48" s="245">
        <f t="shared" si="8"/>
        <v>68512.872862053438</v>
      </c>
      <c r="M48" s="241">
        <f t="shared" si="9"/>
        <v>627165.78800595389</v>
      </c>
      <c r="N48" s="247">
        <f t="shared" si="10"/>
        <v>191913</v>
      </c>
      <c r="O48" s="248">
        <f t="shared" si="11"/>
        <v>282225</v>
      </c>
      <c r="P48" s="248">
        <f t="shared" si="12"/>
        <v>142994</v>
      </c>
      <c r="Q48" s="248">
        <f t="shared" si="13"/>
        <v>150520</v>
      </c>
      <c r="R48" s="249">
        <f t="shared" si="14"/>
        <v>575739</v>
      </c>
      <c r="S48" s="245">
        <f>+S49-1</f>
        <v>16</v>
      </c>
    </row>
    <row r="49" spans="1:19" x14ac:dyDescent="0.25">
      <c r="A49" s="224">
        <v>17</v>
      </c>
      <c r="B49" s="245">
        <f>VLOOKUP(A49,B4:C24,2,0)</f>
        <v>303691.18548042502</v>
      </c>
      <c r="C49" s="245">
        <f>VLOOKUP(A49,B4:E24,4,0)</f>
        <v>112286.95307539837</v>
      </c>
      <c r="D49" s="245">
        <f t="shared" si="5"/>
        <v>2189</v>
      </c>
      <c r="E49" s="246">
        <f t="shared" si="6"/>
        <v>2736</v>
      </c>
      <c r="F49" s="246">
        <f t="shared" si="7"/>
        <v>3284</v>
      </c>
      <c r="H49" s="224">
        <v>17</v>
      </c>
      <c r="I49" s="245">
        <f t="shared" si="2"/>
        <v>303691.18548042502</v>
      </c>
      <c r="J49" s="245">
        <f t="shared" si="3"/>
        <v>112286.95307539837</v>
      </c>
      <c r="K49" s="245">
        <f t="shared" si="15"/>
        <v>79492.896612800134</v>
      </c>
      <c r="L49" s="245">
        <f t="shared" si="8"/>
        <v>68512.872862053438</v>
      </c>
      <c r="M49" s="241">
        <f t="shared" si="9"/>
        <v>563983.90803067689</v>
      </c>
      <c r="N49" s="247">
        <f t="shared" si="10"/>
        <v>172579</v>
      </c>
      <c r="O49" s="248">
        <f t="shared" si="11"/>
        <v>253793</v>
      </c>
      <c r="P49" s="248">
        <f t="shared" si="12"/>
        <v>128588</v>
      </c>
      <c r="Q49" s="248">
        <f t="shared" si="13"/>
        <v>135356</v>
      </c>
      <c r="R49" s="249">
        <f t="shared" si="14"/>
        <v>517737</v>
      </c>
      <c r="S49" s="245">
        <v>17</v>
      </c>
    </row>
    <row r="50" spans="1:19" x14ac:dyDescent="0.25">
      <c r="A50" s="224">
        <v>18</v>
      </c>
      <c r="B50" s="245">
        <f>VLOOKUP(A50,B4:C24,2,0)</f>
        <v>0</v>
      </c>
      <c r="C50" s="245">
        <f>VLOOKUP(A50,B4:E24,4,0)</f>
        <v>0</v>
      </c>
      <c r="D50" s="245">
        <f t="shared" si="5"/>
        <v>0</v>
      </c>
      <c r="E50" s="246">
        <f t="shared" si="6"/>
        <v>0</v>
      </c>
      <c r="F50" s="246">
        <f t="shared" si="7"/>
        <v>0</v>
      </c>
      <c r="H50" s="224">
        <v>18</v>
      </c>
      <c r="I50" s="245">
        <f t="shared" si="2"/>
        <v>0</v>
      </c>
      <c r="J50" s="245">
        <f t="shared" si="3"/>
        <v>0</v>
      </c>
      <c r="K50" s="245">
        <f t="shared" si="15"/>
        <v>0</v>
      </c>
      <c r="L50" s="245">
        <f t="shared" si="8"/>
        <v>0</v>
      </c>
      <c r="M50" s="241">
        <f t="shared" si="9"/>
        <v>0</v>
      </c>
      <c r="N50" s="247">
        <f t="shared" si="10"/>
        <v>0</v>
      </c>
      <c r="O50" s="248">
        <f t="shared" si="11"/>
        <v>0</v>
      </c>
      <c r="P50" s="248">
        <f t="shared" si="12"/>
        <v>0</v>
      </c>
      <c r="Q50" s="248">
        <f t="shared" si="13"/>
        <v>0</v>
      </c>
      <c r="R50" s="249">
        <f t="shared" si="14"/>
        <v>0</v>
      </c>
    </row>
    <row r="51" spans="1:19" x14ac:dyDescent="0.25">
      <c r="A51" s="224">
        <v>19</v>
      </c>
      <c r="B51" s="245">
        <f>VLOOKUP(A51,B4:C24,2,0)</f>
        <v>0</v>
      </c>
      <c r="C51" s="245">
        <f>VLOOKUP(A51,B4:E24,4,0)</f>
        <v>0</v>
      </c>
      <c r="D51" s="245">
        <f t="shared" si="5"/>
        <v>0</v>
      </c>
      <c r="E51" s="246">
        <f t="shared" si="6"/>
        <v>0</v>
      </c>
      <c r="F51" s="246">
        <f t="shared" si="7"/>
        <v>0</v>
      </c>
      <c r="H51" s="224">
        <v>19</v>
      </c>
      <c r="I51" s="245">
        <f t="shared" si="2"/>
        <v>0</v>
      </c>
      <c r="J51" s="245">
        <f t="shared" si="3"/>
        <v>0</v>
      </c>
      <c r="K51" s="245">
        <f t="shared" si="15"/>
        <v>0</v>
      </c>
      <c r="L51" s="245">
        <f t="shared" si="8"/>
        <v>0</v>
      </c>
      <c r="M51" s="241">
        <f t="shared" si="9"/>
        <v>0</v>
      </c>
      <c r="N51" s="247">
        <f t="shared" si="10"/>
        <v>0</v>
      </c>
      <c r="O51" s="248">
        <f t="shared" si="11"/>
        <v>0</v>
      </c>
      <c r="P51" s="248">
        <f t="shared" si="12"/>
        <v>0</v>
      </c>
      <c r="Q51" s="248">
        <f t="shared" si="13"/>
        <v>0</v>
      </c>
      <c r="R51" s="249">
        <f t="shared" si="14"/>
        <v>0</v>
      </c>
    </row>
    <row r="52" spans="1:19" x14ac:dyDescent="0.25">
      <c r="A52" s="224">
        <v>20</v>
      </c>
      <c r="B52" s="245">
        <f>VLOOKUP(A52,B4:C24,2,0)</f>
        <v>0</v>
      </c>
      <c r="C52" s="245">
        <f t="shared" ref="C52" si="16">VLOOKUP(A52,B22:E42,4,0)</f>
        <v>0</v>
      </c>
      <c r="D52" s="245">
        <f t="shared" si="5"/>
        <v>0</v>
      </c>
      <c r="E52" s="246">
        <f t="shared" si="6"/>
        <v>0</v>
      </c>
      <c r="F52" s="246">
        <f t="shared" si="7"/>
        <v>0</v>
      </c>
      <c r="H52" s="224">
        <v>20</v>
      </c>
      <c r="I52" s="245">
        <f t="shared" si="2"/>
        <v>0</v>
      </c>
      <c r="J52" s="245">
        <f t="shared" si="3"/>
        <v>0</v>
      </c>
      <c r="K52" s="245">
        <f t="shared" si="15"/>
        <v>0</v>
      </c>
      <c r="L52" s="245">
        <f t="shared" si="8"/>
        <v>0</v>
      </c>
      <c r="M52" s="241">
        <f t="shared" si="9"/>
        <v>0</v>
      </c>
      <c r="N52" s="247">
        <f t="shared" si="10"/>
        <v>0</v>
      </c>
      <c r="O52" s="248">
        <f t="shared" si="11"/>
        <v>0</v>
      </c>
      <c r="P52" s="248">
        <f t="shared" si="12"/>
        <v>0</v>
      </c>
      <c r="Q52" s="248">
        <f t="shared" si="13"/>
        <v>0</v>
      </c>
      <c r="R52" s="249">
        <f t="shared" si="14"/>
        <v>0</v>
      </c>
    </row>
    <row r="53" spans="1:19" x14ac:dyDescent="0.25">
      <c r="E53" s="222"/>
      <c r="F53" s="222"/>
    </row>
    <row r="54" spans="1:19" x14ac:dyDescent="0.25">
      <c r="E54" s="222">
        <f>+E41*25</f>
        <v>220250</v>
      </c>
      <c r="F54" s="222">
        <f>+F41*25</f>
        <v>264300</v>
      </c>
      <c r="G54" s="222"/>
      <c r="O54" s="262" t="s">
        <v>91</v>
      </c>
    </row>
    <row r="55" spans="1:19" x14ac:dyDescent="0.25">
      <c r="E55" s="222"/>
      <c r="F55" s="222"/>
      <c r="G55" s="222"/>
      <c r="O55" s="262" t="s">
        <v>92</v>
      </c>
    </row>
    <row r="56" spans="1:19" x14ac:dyDescent="0.25">
      <c r="E56" s="222"/>
      <c r="F56" s="222"/>
      <c r="G56" s="222"/>
      <c r="O56" s="262" t="s">
        <v>93</v>
      </c>
    </row>
    <row r="57" spans="1:19" x14ac:dyDescent="0.25">
      <c r="E57" s="222"/>
      <c r="F57" s="222"/>
      <c r="G57" s="222"/>
    </row>
    <row r="58" spans="1:19" x14ac:dyDescent="0.25">
      <c r="F58" s="222"/>
    </row>
    <row r="59" spans="1:19" x14ac:dyDescent="0.25">
      <c r="F59" s="222"/>
    </row>
    <row r="60" spans="1:19" x14ac:dyDescent="0.25">
      <c r="F60" s="222"/>
    </row>
    <row r="61" spans="1:19" x14ac:dyDescent="0.25">
      <c r="F61" s="222"/>
    </row>
    <row r="64" spans="1:19" x14ac:dyDescent="0.25">
      <c r="F64" s="222"/>
    </row>
    <row r="68" spans="6:6" x14ac:dyDescent="0.25">
      <c r="F68" s="222"/>
    </row>
  </sheetData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</sheetPr>
  <dimension ref="A1:CN68"/>
  <sheetViews>
    <sheetView tabSelected="1" workbookViewId="0">
      <selection activeCell="K12" sqref="K12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7.42578125" style="220" customWidth="1"/>
    <col min="5" max="5" width="13.5703125" style="220" bestFit="1" customWidth="1"/>
    <col min="6" max="6" width="8.42578125" style="220" customWidth="1"/>
    <col min="7" max="7" width="14.5703125" style="220" bestFit="1" customWidth="1"/>
    <col min="8" max="8" width="13.42578125" style="220" customWidth="1"/>
    <col min="9" max="10" width="12.42578125" style="220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5" style="220" bestFit="1" customWidth="1"/>
    <col min="18" max="18" width="11.5703125" style="222" bestFit="1" customWidth="1"/>
    <col min="19" max="19" width="7.42578125" style="222" bestFit="1" customWidth="1"/>
    <col min="20" max="16384" width="11.42578125" style="220"/>
  </cols>
  <sheetData>
    <row r="1" spans="1:92" s="219" customFormat="1" ht="30.75" customHeight="1" x14ac:dyDescent="0.25">
      <c r="A1" s="259">
        <v>1.0429999999999999</v>
      </c>
      <c r="B1" s="255">
        <v>1.1200000000000001</v>
      </c>
      <c r="C1" s="346" t="s">
        <v>94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240"/>
      <c r="S1" s="262"/>
      <c r="T1" s="279">
        <v>0.8</v>
      </c>
      <c r="W1" s="279">
        <v>7.0000000000000007E-2</v>
      </c>
    </row>
    <row r="2" spans="1:92" x14ac:dyDescent="0.25">
      <c r="A2" s="220"/>
      <c r="B2" s="221"/>
      <c r="O2" s="220"/>
      <c r="P2" s="222"/>
      <c r="R2" s="245"/>
    </row>
    <row r="3" spans="1:92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52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74" t="s">
        <v>96</v>
      </c>
      <c r="R3" s="277"/>
      <c r="S3" s="263"/>
    </row>
    <row r="4" spans="1:92" x14ac:dyDescent="0.25">
      <c r="A4" s="220"/>
      <c r="B4" s="251">
        <v>1</v>
      </c>
      <c r="C4" s="249">
        <v>823332</v>
      </c>
      <c r="D4" s="249">
        <v>177016.44323127213</v>
      </c>
      <c r="E4" s="249">
        <v>3057964</v>
      </c>
      <c r="F4" s="249">
        <f>(((C4*20%)*40%)+(C4*20%))</f>
        <v>230532.96000000002</v>
      </c>
      <c r="G4" s="249">
        <v>273318</v>
      </c>
      <c r="H4" s="249">
        <v>25451</v>
      </c>
      <c r="I4" s="249">
        <v>123818</v>
      </c>
      <c r="J4" s="249">
        <v>0</v>
      </c>
      <c r="K4" s="240">
        <v>823332</v>
      </c>
      <c r="L4" s="240">
        <v>3057963.5224856376</v>
      </c>
      <c r="M4" s="240">
        <f>+'EUS 2023'!M4*'EUS 2024'!$A$1</f>
        <v>0</v>
      </c>
      <c r="N4" s="240">
        <f>+'EUS 2023'!N4*'EUS 2024'!$A$1</f>
        <v>0</v>
      </c>
      <c r="O4" s="249">
        <f>+'EUS 2023'!O4*'EUS 2024'!$A$1</f>
        <v>0</v>
      </c>
      <c r="P4" s="254">
        <f>C4+D4+E4+F4+G4+H4+I4+J4+K4+L4+M4+N4+O4</f>
        <v>8592727.9257169105</v>
      </c>
      <c r="Q4" s="275">
        <f>+'EUS 2022'!Q4*'EUS 2023'!$A$1</f>
        <v>0</v>
      </c>
      <c r="R4" s="245">
        <f t="shared" ref="R4:R18" si="0">+R5-1</f>
        <v>1</v>
      </c>
      <c r="S4" s="222">
        <f>P4*$T$1</f>
        <v>6874182.3405735288</v>
      </c>
    </row>
    <row r="5" spans="1:92" x14ac:dyDescent="0.25">
      <c r="A5" s="220"/>
      <c r="B5" s="251">
        <v>2</v>
      </c>
      <c r="C5" s="249">
        <v>777092</v>
      </c>
      <c r="D5" s="249">
        <v>167075.42862416978</v>
      </c>
      <c r="E5" s="249">
        <v>2925583</v>
      </c>
      <c r="F5" s="249">
        <f t="shared" ref="F5:F20" si="1">(((C5*20%)*40%)+(C5*20%))</f>
        <v>217585.76</v>
      </c>
      <c r="G5" s="249">
        <v>280871</v>
      </c>
      <c r="H5" s="249">
        <v>25451</v>
      </c>
      <c r="I5" s="249">
        <v>127736</v>
      </c>
      <c r="J5" s="249">
        <v>0</v>
      </c>
      <c r="K5" s="240">
        <f>+'EUS 2023'!K5*'EUS 2024'!$A$1</f>
        <v>0</v>
      </c>
      <c r="L5" s="240">
        <f>+'EUS 2023'!L5*'EUS 2024'!$A$1</f>
        <v>0</v>
      </c>
      <c r="M5" s="240">
        <f>+'EUS 2023'!M5*'EUS 2024'!$A$1</f>
        <v>0</v>
      </c>
      <c r="N5" s="240">
        <f>+'EUS 2023'!N5*'EUS 2024'!$A$1</f>
        <v>0</v>
      </c>
      <c r="O5" s="249">
        <f>+'EUS 2023'!O5*'EUS 2024'!$A$1</f>
        <v>0</v>
      </c>
      <c r="P5" s="254">
        <f t="shared" ref="P5:P23" si="2">C5+D5+E5+F5+G5+H5+I5+J5+K5+L5+M5+N5+O5</f>
        <v>4521394.1886241697</v>
      </c>
      <c r="Q5" s="275">
        <f>+'EUS 2022'!Q5*'EUS 2023'!$A$1</f>
        <v>0</v>
      </c>
      <c r="R5" s="245">
        <f t="shared" si="0"/>
        <v>2</v>
      </c>
      <c r="S5" s="222">
        <f t="shared" ref="S5:S20" si="3">P5*$T$1</f>
        <v>3617115.3508993359</v>
      </c>
    </row>
    <row r="6" spans="1:92" s="280" customFormat="1" x14ac:dyDescent="0.25">
      <c r="B6" s="251">
        <v>3</v>
      </c>
      <c r="C6" s="249">
        <v>820481</v>
      </c>
      <c r="D6" s="249">
        <v>176403.28520019812</v>
      </c>
      <c r="E6" s="249">
        <v>2412437</v>
      </c>
      <c r="F6" s="249">
        <f t="shared" si="1"/>
        <v>229734.68000000002</v>
      </c>
      <c r="G6" s="249">
        <v>281909</v>
      </c>
      <c r="H6" s="249">
        <v>25451</v>
      </c>
      <c r="I6" s="249">
        <v>128248</v>
      </c>
      <c r="J6" s="249">
        <v>34913</v>
      </c>
      <c r="K6" s="240">
        <f>+'EUS 2023'!K6*'EUS 2024'!$A$1</f>
        <v>0</v>
      </c>
      <c r="L6" s="240">
        <f>+'EUS 2023'!L6*'EUS 2024'!$A$1</f>
        <v>0</v>
      </c>
      <c r="M6" s="240">
        <v>969877</v>
      </c>
      <c r="N6" s="240">
        <v>646584</v>
      </c>
      <c r="O6" s="249">
        <v>656391</v>
      </c>
      <c r="P6" s="254">
        <f t="shared" si="2"/>
        <v>6382428.9652001988</v>
      </c>
      <c r="Q6" s="275">
        <f>O6/2</f>
        <v>328195.5</v>
      </c>
      <c r="R6" s="245">
        <f t="shared" si="0"/>
        <v>3</v>
      </c>
      <c r="S6" s="222">
        <f t="shared" si="3"/>
        <v>5105943.1721601598</v>
      </c>
      <c r="W6" s="287">
        <f>(P6*W1)+P6</f>
        <v>6829198.9927642131</v>
      </c>
      <c r="X6" s="288">
        <f>W6*11</f>
        <v>75121188.920406342</v>
      </c>
    </row>
    <row r="7" spans="1:92" x14ac:dyDescent="0.25">
      <c r="A7" s="220"/>
      <c r="B7" s="251">
        <v>4</v>
      </c>
      <c r="C7" s="249">
        <v>774061</v>
      </c>
      <c r="D7" s="249">
        <v>166422.99807457667</v>
      </c>
      <c r="E7" s="249">
        <v>2340591</v>
      </c>
      <c r="F7" s="249">
        <f t="shared" si="1"/>
        <v>216737.08000000002</v>
      </c>
      <c r="G7" s="249">
        <v>288467</v>
      </c>
      <c r="H7" s="249">
        <v>25451</v>
      </c>
      <c r="I7" s="249">
        <v>131637</v>
      </c>
      <c r="J7" s="249">
        <v>34913</v>
      </c>
      <c r="K7" s="240">
        <f>+'EUS 2023'!K7*'EUS 2024'!$A$1</f>
        <v>0</v>
      </c>
      <c r="L7" s="240">
        <f>+'EUS 2023'!L7*'EUS 2024'!$A$1</f>
        <v>0</v>
      </c>
      <c r="M7" s="240">
        <f>+'EUS 2023'!M7*'EUS 2024'!$A$1</f>
        <v>0</v>
      </c>
      <c r="N7" s="240">
        <f>+'EUS 2023'!N7*'EUS 2024'!$A$1</f>
        <v>0</v>
      </c>
      <c r="O7" s="249">
        <v>619243</v>
      </c>
      <c r="P7" s="254">
        <f t="shared" si="2"/>
        <v>4597523.0780745763</v>
      </c>
      <c r="Q7" s="275">
        <f t="shared" ref="Q7:Q15" si="4">O7/2</f>
        <v>309621.5</v>
      </c>
      <c r="R7" s="245">
        <f t="shared" si="0"/>
        <v>4</v>
      </c>
      <c r="S7" s="222">
        <f t="shared" si="3"/>
        <v>3678018.4624596611</v>
      </c>
    </row>
    <row r="8" spans="1:92" s="280" customFormat="1" x14ac:dyDescent="0.25">
      <c r="B8" s="251">
        <v>5</v>
      </c>
      <c r="C8" s="249">
        <v>730272</v>
      </c>
      <c r="D8" s="249">
        <v>157007.72847345722</v>
      </c>
      <c r="E8" s="249">
        <v>2011682</v>
      </c>
      <c r="F8" s="249">
        <f t="shared" si="1"/>
        <v>204476.16</v>
      </c>
      <c r="G8" s="249">
        <v>295051</v>
      </c>
      <c r="H8" s="249">
        <v>25451</v>
      </c>
      <c r="I8" s="249">
        <v>135081</v>
      </c>
      <c r="J8" s="249">
        <v>34913</v>
      </c>
      <c r="K8" s="240">
        <f>+'EUS 2023'!K8*'EUS 2024'!$A$1</f>
        <v>0</v>
      </c>
      <c r="L8" s="240">
        <f>+'EUS 2023'!L8*'EUS 2024'!$A$1</f>
        <v>0</v>
      </c>
      <c r="M8" s="240">
        <f>+'EUS 2023'!M8*'EUS 2024'!$A$1</f>
        <v>0</v>
      </c>
      <c r="N8" s="240">
        <f>+'EUS 2023'!N8*'EUS 2024'!$A$1</f>
        <v>0</v>
      </c>
      <c r="O8" s="249">
        <v>617237</v>
      </c>
      <c r="P8" s="254">
        <f t="shared" si="2"/>
        <v>4211170.8884734577</v>
      </c>
      <c r="Q8" s="275">
        <f t="shared" si="4"/>
        <v>308618.5</v>
      </c>
      <c r="R8" s="245">
        <f t="shared" si="0"/>
        <v>5</v>
      </c>
      <c r="S8" s="222">
        <f t="shared" si="3"/>
        <v>3368936.7107787663</v>
      </c>
      <c r="W8" s="287">
        <f>(P8*W1)+P8</f>
        <v>4505952.8506665993</v>
      </c>
      <c r="X8" s="288">
        <f>(W8*11)*-1</f>
        <v>-49565481.357332595</v>
      </c>
    </row>
    <row r="9" spans="1:92" x14ac:dyDescent="0.25">
      <c r="A9" s="220"/>
      <c r="B9" s="251">
        <v>6</v>
      </c>
      <c r="C9" s="249">
        <v>688865</v>
      </c>
      <c r="D9" s="249">
        <v>148110.60274570406</v>
      </c>
      <c r="E9" s="249">
        <v>1699985</v>
      </c>
      <c r="F9" s="249">
        <f t="shared" si="1"/>
        <v>192882.2</v>
      </c>
      <c r="G9" s="249">
        <v>329790</v>
      </c>
      <c r="H9" s="249">
        <v>25450</v>
      </c>
      <c r="I9" s="249">
        <v>125676</v>
      </c>
      <c r="J9" s="249">
        <v>40148</v>
      </c>
      <c r="K9" s="240">
        <f>+'EUS 2023'!K9*'EUS 2024'!$A$1</f>
        <v>0</v>
      </c>
      <c r="L9" s="240">
        <f>+'EUS 2023'!L9*'EUS 2024'!$A$1</f>
        <v>0</v>
      </c>
      <c r="M9" s="240">
        <f>+'EUS 2023'!M9*'EUS 2024'!$A$1</f>
        <v>0</v>
      </c>
      <c r="N9" s="240">
        <f>+'EUS 2023'!N9*'EUS 2024'!$A$1</f>
        <v>0</v>
      </c>
      <c r="O9" s="249">
        <v>551087</v>
      </c>
      <c r="P9" s="254">
        <f t="shared" si="2"/>
        <v>3801993.8027457045</v>
      </c>
      <c r="Q9" s="275">
        <f t="shared" si="4"/>
        <v>275543.5</v>
      </c>
      <c r="R9" s="245">
        <f t="shared" si="0"/>
        <v>6</v>
      </c>
      <c r="S9" s="222">
        <f t="shared" si="3"/>
        <v>3041595.0421965639</v>
      </c>
    </row>
    <row r="10" spans="1:92" x14ac:dyDescent="0.25">
      <c r="A10" s="222"/>
      <c r="B10" s="251">
        <v>7</v>
      </c>
      <c r="C10" s="249">
        <v>643731</v>
      </c>
      <c r="D10" s="249">
        <v>138406.3201916035</v>
      </c>
      <c r="E10" s="249">
        <v>1292465</v>
      </c>
      <c r="F10" s="249">
        <f t="shared" si="1"/>
        <v>180244.68000000002</v>
      </c>
      <c r="G10" s="249">
        <v>230553</v>
      </c>
      <c r="H10" s="249">
        <v>25803</v>
      </c>
      <c r="I10" s="249">
        <v>95024</v>
      </c>
      <c r="J10" s="249">
        <v>40702</v>
      </c>
      <c r="K10" s="240">
        <f>+'EUS 2023'!K10*'EUS 2024'!$A$1</f>
        <v>0</v>
      </c>
      <c r="L10" s="240">
        <f>+'EUS 2023'!L10*'EUS 2024'!$A$1</f>
        <v>0</v>
      </c>
      <c r="M10" s="240">
        <f>+'EUS 2023'!M10*'EUS 2024'!$A$1</f>
        <v>0</v>
      </c>
      <c r="N10" s="240">
        <f>+'EUS 2023'!N10*'EUS 2024'!$A$1</f>
        <v>0</v>
      </c>
      <c r="O10" s="249">
        <v>509789</v>
      </c>
      <c r="P10" s="254">
        <f t="shared" si="2"/>
        <v>3156718.0001916038</v>
      </c>
      <c r="Q10" s="275">
        <f t="shared" si="4"/>
        <v>254894.5</v>
      </c>
      <c r="R10" s="245">
        <f t="shared" si="0"/>
        <v>7</v>
      </c>
      <c r="S10" s="222">
        <f t="shared" si="3"/>
        <v>2525374.400153283</v>
      </c>
    </row>
    <row r="11" spans="1:92" x14ac:dyDescent="0.25">
      <c r="A11" s="220"/>
      <c r="B11" s="251">
        <v>8</v>
      </c>
      <c r="C11" s="249">
        <v>607230</v>
      </c>
      <c r="D11" s="249">
        <v>130557.19432696709</v>
      </c>
      <c r="E11" s="249">
        <v>1011051</v>
      </c>
      <c r="F11" s="249">
        <f t="shared" si="1"/>
        <v>170024.4</v>
      </c>
      <c r="G11" s="249">
        <v>179169</v>
      </c>
      <c r="H11" s="249">
        <v>26290</v>
      </c>
      <c r="I11" s="249">
        <v>73868</v>
      </c>
      <c r="J11" s="249">
        <v>41470</v>
      </c>
      <c r="K11" s="240">
        <f>+'EUS 2023'!K11*'EUS 2024'!$A$1</f>
        <v>0</v>
      </c>
      <c r="L11" s="240">
        <f>+'EUS 2023'!L11*'EUS 2024'!$A$1</f>
        <v>0</v>
      </c>
      <c r="M11" s="240">
        <f>+'EUS 2023'!M11*'EUS 2024'!$A$1</f>
        <v>0</v>
      </c>
      <c r="N11" s="240">
        <f>+'EUS 2023'!N11*'EUS 2024'!$A$1</f>
        <v>0</v>
      </c>
      <c r="O11" s="249">
        <v>465841</v>
      </c>
      <c r="P11" s="254">
        <f t="shared" si="2"/>
        <v>2705500.5943269669</v>
      </c>
      <c r="Q11" s="275">
        <f t="shared" si="4"/>
        <v>232920.5</v>
      </c>
      <c r="R11" s="245">
        <f t="shared" si="0"/>
        <v>8</v>
      </c>
      <c r="S11" s="222">
        <f t="shared" si="3"/>
        <v>2164400.4754615738</v>
      </c>
    </row>
    <row r="12" spans="1:92" x14ac:dyDescent="0.25">
      <c r="A12" s="220"/>
      <c r="B12" s="251">
        <v>9</v>
      </c>
      <c r="C12" s="249">
        <v>562195</v>
      </c>
      <c r="D12" s="249">
        <v>120875.19255467398</v>
      </c>
      <c r="E12" s="249">
        <v>776871.18815294863</v>
      </c>
      <c r="F12" s="249">
        <f t="shared" si="1"/>
        <v>157414.6</v>
      </c>
      <c r="G12" s="249">
        <v>136600</v>
      </c>
      <c r="H12" s="249">
        <v>26290</v>
      </c>
      <c r="I12" s="249">
        <v>56307</v>
      </c>
      <c r="J12" s="249">
        <v>41470</v>
      </c>
      <c r="K12" s="240">
        <f>+'EUS 2023'!K12*'EUS 2024'!$A$1</f>
        <v>0</v>
      </c>
      <c r="L12" s="240">
        <f>+'EUS 2023'!L12*'EUS 2024'!$A$1</f>
        <v>0</v>
      </c>
      <c r="M12" s="240">
        <f>+'EUS 2023'!M12*'EUS 2024'!$A$1</f>
        <v>0</v>
      </c>
      <c r="N12" s="240">
        <f>+'EUS 2023'!N12*'EUS 2024'!$A$1</f>
        <v>0</v>
      </c>
      <c r="O12" s="249">
        <v>421566.77005897876</v>
      </c>
      <c r="P12" s="254">
        <f t="shared" si="2"/>
        <v>2299589.7507666014</v>
      </c>
      <c r="Q12" s="275">
        <f t="shared" si="4"/>
        <v>210783.38502948938</v>
      </c>
      <c r="R12" s="245">
        <f t="shared" si="0"/>
        <v>9</v>
      </c>
      <c r="S12" s="222">
        <f t="shared" si="3"/>
        <v>1839671.8006132813</v>
      </c>
    </row>
    <row r="13" spans="1:92" s="256" customFormat="1" x14ac:dyDescent="0.25">
      <c r="A13" s="220"/>
      <c r="B13" s="251">
        <v>10</v>
      </c>
      <c r="C13" s="249">
        <v>520589.15904821706</v>
      </c>
      <c r="D13" s="249">
        <v>111928.59894510941</v>
      </c>
      <c r="E13" s="249">
        <v>587228</v>
      </c>
      <c r="F13" s="249">
        <f t="shared" si="1"/>
        <v>145764.96453350078</v>
      </c>
      <c r="G13" s="249">
        <v>102088.32686613094</v>
      </c>
      <c r="H13" s="249">
        <v>26290</v>
      </c>
      <c r="I13" s="249">
        <v>42110.947815092579</v>
      </c>
      <c r="J13" s="249">
        <v>41470</v>
      </c>
      <c r="K13" s="240">
        <f>+'EUS 2023'!K13*'EUS 2024'!$A$1</f>
        <v>0</v>
      </c>
      <c r="L13" s="240">
        <f>+'EUS 2023'!L13*'EUS 2024'!$A$1</f>
        <v>0</v>
      </c>
      <c r="M13" s="240">
        <f>+'EUS 2023'!M13*'EUS 2024'!$A$1</f>
        <v>0</v>
      </c>
      <c r="N13" s="240">
        <f>+'EUS 2023'!N13*'EUS 2024'!$A$1</f>
        <v>0</v>
      </c>
      <c r="O13" s="249">
        <v>381502.49001392338</v>
      </c>
      <c r="P13" s="254">
        <f t="shared" si="2"/>
        <v>1958972.4872219744</v>
      </c>
      <c r="Q13" s="275">
        <f t="shared" si="4"/>
        <v>190751.24500696169</v>
      </c>
      <c r="R13" s="245">
        <f t="shared" si="0"/>
        <v>10</v>
      </c>
      <c r="S13" s="222">
        <f t="shared" si="3"/>
        <v>1567177.9897775797</v>
      </c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</row>
    <row r="14" spans="1:92" x14ac:dyDescent="0.25">
      <c r="A14" s="220"/>
      <c r="B14" s="251">
        <v>11</v>
      </c>
      <c r="C14" s="249">
        <v>482058.53890824801</v>
      </c>
      <c r="D14" s="249">
        <v>103644.13439309053</v>
      </c>
      <c r="E14" s="249">
        <v>443716</v>
      </c>
      <c r="F14" s="249">
        <f t="shared" si="1"/>
        <v>134976.39089430944</v>
      </c>
      <c r="G14" s="249">
        <v>76090</v>
      </c>
      <c r="H14" s="249">
        <v>26290</v>
      </c>
      <c r="I14" s="249">
        <v>31347</v>
      </c>
      <c r="J14" s="249">
        <v>41470</v>
      </c>
      <c r="K14" s="240">
        <f>+'EUS 2023'!K14*'EUS 2024'!$A$1</f>
        <v>0</v>
      </c>
      <c r="L14" s="240">
        <f>+'EUS 2023'!L14*'EUS 2024'!$A$1</f>
        <v>0</v>
      </c>
      <c r="M14" s="240">
        <f>+'EUS 2023'!M14*'EUS 2024'!$A$1</f>
        <v>0</v>
      </c>
      <c r="N14" s="240">
        <f>+'EUS 2023'!N14*'EUS 2024'!$A$1</f>
        <v>0</v>
      </c>
      <c r="O14" s="249">
        <v>345257.65177991113</v>
      </c>
      <c r="P14" s="254">
        <f t="shared" si="2"/>
        <v>1684849.7159755593</v>
      </c>
      <c r="Q14" s="275">
        <f t="shared" si="4"/>
        <v>172628.82588995557</v>
      </c>
      <c r="R14" s="245">
        <f t="shared" si="0"/>
        <v>11</v>
      </c>
      <c r="S14" s="222">
        <f t="shared" si="3"/>
        <v>1347879.7727804475</v>
      </c>
      <c r="T14" s="222"/>
    </row>
    <row r="15" spans="1:92" x14ac:dyDescent="0.25">
      <c r="A15" s="220"/>
      <c r="B15" s="251">
        <v>12</v>
      </c>
      <c r="C15" s="249">
        <v>446351</v>
      </c>
      <c r="D15" s="249">
        <v>95968.148125179796</v>
      </c>
      <c r="E15" s="249">
        <v>327519</v>
      </c>
      <c r="F15" s="249">
        <f t="shared" si="1"/>
        <v>124978.28000000003</v>
      </c>
      <c r="G15" s="249">
        <v>64353.148187294217</v>
      </c>
      <c r="H15" s="249">
        <v>97831</v>
      </c>
      <c r="I15" s="249">
        <v>25038</v>
      </c>
      <c r="J15" s="249">
        <v>68512.872862053438</v>
      </c>
      <c r="K15" s="240">
        <f>+'EUS 2023'!K15*'EUS 2024'!$A$1</f>
        <v>0</v>
      </c>
      <c r="L15" s="240">
        <f>+'EUS 2023'!L15*'EUS 2024'!$A$1</f>
        <v>0</v>
      </c>
      <c r="M15" s="240">
        <f>+'EUS 2023'!M15*'EUS 2024'!$A$1</f>
        <v>0</v>
      </c>
      <c r="N15" s="240">
        <f>+'EUS 2023'!N15*'EUS 2024'!$A$1</f>
        <v>0</v>
      </c>
      <c r="O15" s="249">
        <v>312448.98994671338</v>
      </c>
      <c r="P15" s="254">
        <f t="shared" si="2"/>
        <v>1563000.4391212407</v>
      </c>
      <c r="Q15" s="275">
        <f t="shared" si="4"/>
        <v>156224.49497335669</v>
      </c>
      <c r="R15" s="245">
        <f t="shared" si="0"/>
        <v>12</v>
      </c>
      <c r="S15" s="222">
        <f>P15*$T$1</f>
        <v>1250400.3512969927</v>
      </c>
      <c r="T15" s="222"/>
    </row>
    <row r="16" spans="1:92" x14ac:dyDescent="0.25">
      <c r="A16" s="220"/>
      <c r="B16" s="251">
        <v>13</v>
      </c>
      <c r="C16" s="249">
        <v>413272.04443150299</v>
      </c>
      <c r="D16" s="249">
        <v>88856.149256087621</v>
      </c>
      <c r="E16" s="249">
        <v>243722.8278785898</v>
      </c>
      <c r="F16" s="249">
        <f t="shared" si="1"/>
        <v>115716.17244082084</v>
      </c>
      <c r="G16" s="249">
        <v>47511</v>
      </c>
      <c r="H16" s="249">
        <v>94939.72894598679</v>
      </c>
      <c r="I16" s="249">
        <v>18068.081947339539</v>
      </c>
      <c r="J16" s="249">
        <v>68512.872862053438</v>
      </c>
      <c r="K16" s="240">
        <f>+'EUS 2023'!K16*'EUS 2024'!$A$1</f>
        <v>0</v>
      </c>
      <c r="L16" s="240">
        <f>+'EUS 2023'!L16*'EUS 2024'!$A$1</f>
        <v>0</v>
      </c>
      <c r="M16" s="240">
        <f>+'EUS 2023'!M16*'EUS 2024'!$A$1</f>
        <v>0</v>
      </c>
      <c r="N16" s="240">
        <f>+'EUS 2023'!N16*'EUS 2024'!$A$1</f>
        <v>0</v>
      </c>
      <c r="O16" s="249">
        <f>+'EUS 2023'!O16*'EUS 2024'!$A$1</f>
        <v>0</v>
      </c>
      <c r="P16" s="254">
        <f t="shared" si="2"/>
        <v>1090598.877762381</v>
      </c>
      <c r="Q16" s="275">
        <f>+'EUS 2022'!Q16*'EUS 2023'!$B$1</f>
        <v>0</v>
      </c>
      <c r="R16" s="245">
        <f t="shared" si="0"/>
        <v>13</v>
      </c>
      <c r="S16" s="222">
        <f t="shared" si="3"/>
        <v>872479.10220990481</v>
      </c>
      <c r="T16" s="222"/>
    </row>
    <row r="17" spans="1:20" x14ac:dyDescent="0.25">
      <c r="A17" s="220"/>
      <c r="B17" s="251">
        <v>14</v>
      </c>
      <c r="C17" s="249">
        <v>382597</v>
      </c>
      <c r="D17" s="249">
        <v>82258.412678725566</v>
      </c>
      <c r="E17" s="249">
        <v>184102.60642967385</v>
      </c>
      <c r="F17" s="249">
        <f t="shared" si="1"/>
        <v>107127.16000000002</v>
      </c>
      <c r="G17" s="249">
        <v>35823.357855648712</v>
      </c>
      <c r="H17" s="249">
        <v>94179.615445960022</v>
      </c>
      <c r="I17" s="249">
        <v>13357</v>
      </c>
      <c r="J17" s="249">
        <v>68512.872862053438</v>
      </c>
      <c r="K17" s="240">
        <f>+'EUS 2023'!K17*'EUS 2024'!$A$1</f>
        <v>0</v>
      </c>
      <c r="L17" s="240">
        <f>+'EUS 2023'!L17*'EUS 2024'!$A$1</f>
        <v>0</v>
      </c>
      <c r="M17" s="240">
        <f>+'EUS 2023'!M17*'EUS 2024'!$A$1</f>
        <v>0</v>
      </c>
      <c r="N17" s="240">
        <f>+'EUS 2023'!N17*'EUS 2024'!$A$1</f>
        <v>0</v>
      </c>
      <c r="O17" s="249">
        <f>+'EUS 2023'!O17*'EUS 2024'!$A$1</f>
        <v>0</v>
      </c>
      <c r="P17" s="254">
        <f t="shared" si="2"/>
        <v>967958.0252720617</v>
      </c>
      <c r="Q17" s="275">
        <f>+'EUS 2022'!Q17*'EUS 2023'!$B$1</f>
        <v>0</v>
      </c>
      <c r="R17" s="245">
        <f t="shared" si="0"/>
        <v>14</v>
      </c>
      <c r="S17" s="222">
        <f t="shared" si="3"/>
        <v>774366.42021764943</v>
      </c>
    </row>
    <row r="18" spans="1:20" x14ac:dyDescent="0.25">
      <c r="A18" s="220"/>
      <c r="B18" s="251">
        <v>15</v>
      </c>
      <c r="C18" s="249">
        <v>354282.39057890454</v>
      </c>
      <c r="D18" s="249">
        <v>76171.01272674452</v>
      </c>
      <c r="E18" s="249">
        <v>147874.84594343093</v>
      </c>
      <c r="F18" s="249">
        <f t="shared" si="1"/>
        <v>99199.069362093273</v>
      </c>
      <c r="G18" s="249">
        <v>27780.006803558492</v>
      </c>
      <c r="H18" s="249">
        <v>81103.476481090809</v>
      </c>
      <c r="I18" s="249">
        <v>10452</v>
      </c>
      <c r="J18" s="249">
        <v>68512.872862053438</v>
      </c>
      <c r="K18" s="240">
        <f>+'EUS 2023'!K18*'EUS 2024'!$A$1</f>
        <v>0</v>
      </c>
      <c r="L18" s="240">
        <f>+'EUS 2023'!L18*'EUS 2024'!$A$1</f>
        <v>0</v>
      </c>
      <c r="M18" s="240">
        <f>+'EUS 2023'!M18*'EUS 2024'!$A$1</f>
        <v>0</v>
      </c>
      <c r="N18" s="240">
        <f>+'EUS 2023'!N18*'EUS 2024'!$A$1</f>
        <v>0</v>
      </c>
      <c r="O18" s="249">
        <f>+'EUS 2023'!O18*'EUS 2024'!$A$1</f>
        <v>0</v>
      </c>
      <c r="P18" s="254">
        <f t="shared" si="2"/>
        <v>865375.67475787585</v>
      </c>
      <c r="Q18" s="275">
        <f>+'EUS 2022'!Q18*'EUS 2023'!$B$1</f>
        <v>0</v>
      </c>
      <c r="R18" s="245">
        <f t="shared" si="0"/>
        <v>15</v>
      </c>
      <c r="S18" s="222">
        <f t="shared" si="3"/>
        <v>692300.53980630077</v>
      </c>
    </row>
    <row r="19" spans="1:20" x14ac:dyDescent="0.25">
      <c r="A19" s="220"/>
      <c r="B19" s="251">
        <v>16</v>
      </c>
      <c r="C19" s="249">
        <v>327977</v>
      </c>
      <c r="D19" s="249">
        <v>70516.744628612534</v>
      </c>
      <c r="E19" s="249">
        <v>145230.32149270861</v>
      </c>
      <c r="F19" s="249">
        <f t="shared" si="1"/>
        <v>91833.560000000012</v>
      </c>
      <c r="G19" s="249">
        <v>27056.393730204003</v>
      </c>
      <c r="H19" s="249">
        <v>85446.603806690968</v>
      </c>
      <c r="I19" s="249">
        <v>10152.75665572548</v>
      </c>
      <c r="J19" s="249">
        <v>68512.872862053438</v>
      </c>
      <c r="K19" s="240">
        <f>+'EUS 2023'!K19*'EUS 2024'!$A$1</f>
        <v>0</v>
      </c>
      <c r="L19" s="240">
        <f>+'EUS 2023'!L19*'EUS 2024'!$A$1</f>
        <v>0</v>
      </c>
      <c r="M19" s="240">
        <f>+'EUS 2023'!M19*'EUS 2024'!$A$1</f>
        <v>0</v>
      </c>
      <c r="N19" s="240">
        <f>+'EUS 2023'!N19*'EUS 2024'!$A$1</f>
        <v>0</v>
      </c>
      <c r="O19" s="249">
        <f>+'EUS 2023'!O19*'EUS 2024'!$A$1</f>
        <v>0</v>
      </c>
      <c r="P19" s="254">
        <f t="shared" si="2"/>
        <v>826726.2531759952</v>
      </c>
      <c r="Q19" s="275">
        <f>+'EUS 2022'!Q19*'EUS 2023'!$B$1</f>
        <v>0</v>
      </c>
      <c r="R19" s="245">
        <f>+R20-1</f>
        <v>16</v>
      </c>
      <c r="S19" s="222">
        <f t="shared" si="3"/>
        <v>661381.00254079618</v>
      </c>
      <c r="T19" s="222"/>
    </row>
    <row r="20" spans="1:20" x14ac:dyDescent="0.25">
      <c r="A20" s="220"/>
      <c r="B20" s="251">
        <v>17</v>
      </c>
      <c r="C20" s="249">
        <v>303691.18548042502</v>
      </c>
      <c r="D20" s="249">
        <v>65294.299828879884</v>
      </c>
      <c r="E20" s="249">
        <v>112286.95307539837</v>
      </c>
      <c r="F20" s="249">
        <f t="shared" si="1"/>
        <v>85033.531934519007</v>
      </c>
      <c r="G20" s="249">
        <v>19499.465458472368</v>
      </c>
      <c r="H20" s="249">
        <v>79492.896612800134</v>
      </c>
      <c r="I20" s="249">
        <v>7280</v>
      </c>
      <c r="J20" s="249">
        <v>68512.872862053438</v>
      </c>
      <c r="K20" s="240">
        <f>+'EUS 2023'!K20*'EUS 2024'!$A$1</f>
        <v>0</v>
      </c>
      <c r="L20" s="240">
        <f>+'EUS 2023'!L20*'EUS 2024'!$A$1</f>
        <v>0</v>
      </c>
      <c r="M20" s="240">
        <f>+'EUS 2023'!M20*'EUS 2024'!$A$1</f>
        <v>0</v>
      </c>
      <c r="N20" s="240">
        <f>+'EUS 2023'!N20*'EUS 2024'!$A$1</f>
        <v>0</v>
      </c>
      <c r="O20" s="249">
        <f>+'EUS 2023'!O20*'EUS 2024'!$A$1</f>
        <v>0</v>
      </c>
      <c r="P20" s="254">
        <f t="shared" si="2"/>
        <v>741091.2052525481</v>
      </c>
      <c r="Q20" s="275">
        <f>+'EUS 2022'!Q20*'EUS 2023'!$B$1</f>
        <v>0</v>
      </c>
      <c r="R20" s="245">
        <v>17</v>
      </c>
      <c r="S20" s="222">
        <f t="shared" si="3"/>
        <v>592872.96420203848</v>
      </c>
      <c r="T20" s="266"/>
    </row>
    <row r="21" spans="1:20" x14ac:dyDescent="0.25">
      <c r="A21" s="220"/>
      <c r="B21" s="251">
        <v>18</v>
      </c>
      <c r="C21" s="249">
        <f>+'EUS 2022'!C21*'EUS 2023'!$B$1</f>
        <v>0</v>
      </c>
      <c r="D21" s="249">
        <f>+'EUS 2023'!D21*'EUS 2024'!$A$1</f>
        <v>0</v>
      </c>
      <c r="E21" s="249">
        <f>+'EUS 2022'!E21*'EUS 2023'!$B$1</f>
        <v>0</v>
      </c>
      <c r="F21" s="249">
        <f>+'EUS 2022'!F21*'EUS 2023'!$B$1</f>
        <v>0</v>
      </c>
      <c r="G21" s="249">
        <v>0</v>
      </c>
      <c r="H21" s="249">
        <f>+'EUS 2022'!H21*'EUS 2023'!$B$1</f>
        <v>0</v>
      </c>
      <c r="I21" s="249">
        <f>+'EUS 2022'!I21*'EUS 2023'!$B$1</f>
        <v>0</v>
      </c>
      <c r="J21" s="249">
        <v>0</v>
      </c>
      <c r="K21" s="240">
        <f>+'EUS 2022'!K21*'EUS 2023'!$B$1</f>
        <v>0</v>
      </c>
      <c r="L21" s="240">
        <f>+'EUS 2022'!L21*'EUS 2023'!$B$1</f>
        <v>0</v>
      </c>
      <c r="M21" s="240">
        <f>+'EUS 2022'!M21*'EUS 2023'!$B$1</f>
        <v>0</v>
      </c>
      <c r="N21" s="240">
        <f>+'EUS 2022'!N21*'EUS 2023'!$B$1</f>
        <v>0</v>
      </c>
      <c r="O21" s="249">
        <f>+'EUS 2022'!O21*'EUS 2023'!$B$1</f>
        <v>0</v>
      </c>
      <c r="P21" s="254">
        <f t="shared" si="2"/>
        <v>0</v>
      </c>
      <c r="Q21" s="275">
        <f>+'EUS 2022'!Q21*'EUS 2023'!$B$1</f>
        <v>0</v>
      </c>
      <c r="R21" s="245"/>
      <c r="S21" s="265"/>
      <c r="T21" s="265"/>
    </row>
    <row r="22" spans="1:20" x14ac:dyDescent="0.25">
      <c r="A22" s="220"/>
      <c r="B22" s="251">
        <v>19</v>
      </c>
      <c r="C22" s="249">
        <f>+'EUS 2022'!C22*'EUS 2023'!$B$1</f>
        <v>0</v>
      </c>
      <c r="D22" s="249">
        <f>+'EUS 2023'!D22*'EUS 2024'!$A$1</f>
        <v>0</v>
      </c>
      <c r="E22" s="249">
        <f>+'EUS 2022'!E22*'EUS 2023'!$B$1</f>
        <v>0</v>
      </c>
      <c r="F22" s="249">
        <f>+'EUS 2022'!F22*'EUS 2023'!$B$1</f>
        <v>0</v>
      </c>
      <c r="G22" s="249">
        <v>0</v>
      </c>
      <c r="H22" s="249">
        <f>+'EUS 2022'!H22*'EUS 2023'!$B$1</f>
        <v>0</v>
      </c>
      <c r="I22" s="249">
        <f>+'EUS 2022'!I22*'EUS 2023'!$B$1</f>
        <v>0</v>
      </c>
      <c r="J22" s="249">
        <v>0</v>
      </c>
      <c r="K22" s="240">
        <f>+'EUS 2022'!K22*'EUS 2023'!$B$1</f>
        <v>0</v>
      </c>
      <c r="L22" s="240">
        <f>+'EUS 2022'!L22*'EUS 2023'!$B$1</f>
        <v>0</v>
      </c>
      <c r="M22" s="240">
        <f>+'EUS 2022'!M22*'EUS 2023'!$B$1</f>
        <v>0</v>
      </c>
      <c r="N22" s="240">
        <f>+'EUS 2022'!N22*'EUS 2023'!$B$1</f>
        <v>0</v>
      </c>
      <c r="O22" s="249">
        <f>+'EUS 2022'!O22*'EUS 2023'!$B$1</f>
        <v>0</v>
      </c>
      <c r="P22" s="254">
        <f t="shared" si="2"/>
        <v>0</v>
      </c>
      <c r="Q22" s="275">
        <f>+'EUS 2022'!Q22*'EUS 2023'!$B$1</f>
        <v>0</v>
      </c>
      <c r="R22" s="245"/>
      <c r="S22" s="265"/>
      <c r="T22" s="265"/>
    </row>
    <row r="23" spans="1:20" x14ac:dyDescent="0.25">
      <c r="A23" s="220"/>
      <c r="B23" s="251">
        <v>20</v>
      </c>
      <c r="C23" s="249">
        <f>+'EUS 2022'!C23*'EUS 2023'!$B$1</f>
        <v>0</v>
      </c>
      <c r="D23" s="249">
        <f>+'EUS 2023'!D23*'EUS 2024'!$A$1</f>
        <v>0</v>
      </c>
      <c r="E23" s="249">
        <f>+'EUS 2022'!E23*'EUS 2023'!$B$1</f>
        <v>0</v>
      </c>
      <c r="F23" s="249">
        <f>+'EUS 2022'!F23*'EUS 2023'!$B$1</f>
        <v>0</v>
      </c>
      <c r="G23" s="249">
        <v>0</v>
      </c>
      <c r="H23" s="249">
        <f>+'EUS 2022'!H23*'EUS 2023'!$B$1</f>
        <v>0</v>
      </c>
      <c r="I23" s="249">
        <f>+'EUS 2022'!I23*'EUS 2023'!$B$1</f>
        <v>0</v>
      </c>
      <c r="J23" s="249">
        <v>0</v>
      </c>
      <c r="K23" s="240">
        <f>+'EUS 2022'!K23*'EUS 2023'!$B$1</f>
        <v>0</v>
      </c>
      <c r="L23" s="240">
        <f>+'EUS 2022'!L23*'EUS 2023'!$B$1</f>
        <v>0</v>
      </c>
      <c r="M23" s="240">
        <f>+'EUS 2022'!M23*'EUS 2023'!$B$1</f>
        <v>0</v>
      </c>
      <c r="N23" s="240">
        <f>+'EUS 2022'!N23*'EUS 2023'!$B$1</f>
        <v>0</v>
      </c>
      <c r="O23" s="249">
        <f>+'EUS 2022'!O23*'EUS 2023'!$B$1</f>
        <v>0</v>
      </c>
      <c r="P23" s="254">
        <f t="shared" si="2"/>
        <v>0</v>
      </c>
      <c r="Q23" s="275">
        <f>+'EUS 2022'!Q23*'EUS 2023'!$B$1</f>
        <v>0</v>
      </c>
      <c r="R23" s="245"/>
      <c r="S23" s="267"/>
      <c r="T23" s="265"/>
    </row>
    <row r="24" spans="1:20" x14ac:dyDescent="0.25">
      <c r="S24" s="265"/>
      <c r="T24" s="266"/>
    </row>
    <row r="25" spans="1:20" x14ac:dyDescent="0.25">
      <c r="C25" s="222"/>
    </row>
    <row r="26" spans="1:20" x14ac:dyDescent="0.25">
      <c r="P26" s="222"/>
    </row>
    <row r="27" spans="1:20" x14ac:dyDescent="0.25">
      <c r="Q27" s="222"/>
    </row>
    <row r="28" spans="1:20" ht="13.5" thickBot="1" x14ac:dyDescent="0.3"/>
    <row r="29" spans="1:20" ht="13.5" thickBot="1" x14ac:dyDescent="0.3">
      <c r="A29" s="347" t="s">
        <v>95</v>
      </c>
      <c r="B29" s="348"/>
      <c r="C29" s="348"/>
      <c r="D29" s="348"/>
      <c r="E29" s="348"/>
      <c r="F29" s="349"/>
      <c r="H29" s="347" t="s">
        <v>14</v>
      </c>
      <c r="I29" s="348"/>
      <c r="J29" s="348"/>
      <c r="K29" s="348"/>
      <c r="L29" s="348"/>
      <c r="M29" s="348"/>
      <c r="N29" s="348"/>
      <c r="O29" s="348"/>
      <c r="P29" s="348"/>
      <c r="Q29" s="348"/>
      <c r="R29" s="349"/>
    </row>
    <row r="30" spans="1:20" ht="13.5" thickBot="1" x14ac:dyDescent="0.3">
      <c r="O30" s="269" t="s">
        <v>81</v>
      </c>
      <c r="P30" s="271" t="s">
        <v>82</v>
      </c>
      <c r="Q30" s="270" t="s">
        <v>83</v>
      </c>
    </row>
    <row r="31" spans="1:20" x14ac:dyDescent="0.25">
      <c r="A31" s="344" t="s">
        <v>15</v>
      </c>
      <c r="B31" s="344" t="s">
        <v>16</v>
      </c>
      <c r="C31" s="344" t="s">
        <v>67</v>
      </c>
      <c r="D31" s="337" t="s">
        <v>18</v>
      </c>
      <c r="E31" s="338"/>
      <c r="F31" s="339"/>
      <c r="G31" s="223"/>
      <c r="H31" s="344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50"/>
      <c r="P31" s="350"/>
      <c r="Q31" s="350"/>
      <c r="R31" s="339"/>
    </row>
    <row r="32" spans="1:20" x14ac:dyDescent="0.25">
      <c r="A32" s="345"/>
      <c r="B32" s="345"/>
      <c r="C32" s="345"/>
      <c r="D32" s="224" t="s">
        <v>23</v>
      </c>
      <c r="E32" s="224">
        <v>0.25</v>
      </c>
      <c r="F32" s="225">
        <v>0.5</v>
      </c>
      <c r="G32" s="223"/>
      <c r="H32" s="345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64">
        <v>0.30599999999999999</v>
      </c>
      <c r="S32" s="262"/>
    </row>
    <row r="33" spans="1:19" x14ac:dyDescent="0.25">
      <c r="A33" s="224">
        <v>1</v>
      </c>
      <c r="B33" s="245">
        <f>VLOOKUP(A33,B3:C23,2,0)</f>
        <v>823332</v>
      </c>
      <c r="C33" s="245">
        <f>VLOOKUP(A33,B3:E23,4,0)</f>
        <v>3057964</v>
      </c>
      <c r="D33" s="245">
        <f>ROUND((B33+C33)/190,0)</f>
        <v>20428</v>
      </c>
      <c r="E33" s="246">
        <f>ROUND(D33*1.25,0)</f>
        <v>25535</v>
      </c>
      <c r="F33" s="246">
        <f>ROUND(D33*1.5,0)</f>
        <v>30642</v>
      </c>
      <c r="H33" s="224">
        <v>1</v>
      </c>
      <c r="I33" s="245">
        <f t="shared" ref="I33:I52" si="5">VLOOKUP(H33,B4:C23,2,0)</f>
        <v>823332</v>
      </c>
      <c r="J33" s="245">
        <f t="shared" ref="J33:J52" si="6">VLOOKUP(H33,B4:E23,4,0)</f>
        <v>3057964</v>
      </c>
      <c r="K33" s="245">
        <f>VLOOKUP(H33,B4:H23,7,0)</f>
        <v>25451</v>
      </c>
      <c r="L33" s="245">
        <f>VLOOKUP(H33,B4:J23,9,0)</f>
        <v>0</v>
      </c>
      <c r="M33" s="241">
        <f>SUM(I33:L33)</f>
        <v>3906747</v>
      </c>
      <c r="N33" s="247">
        <f>ROUND(M33*0.306,0)</f>
        <v>1195465</v>
      </c>
      <c r="O33" s="248">
        <f>ROUND($M33*$O$32*3,0)</f>
        <v>1758036</v>
      </c>
      <c r="P33" s="248">
        <f>ROUND($M33*$P$32*3,0)</f>
        <v>890738</v>
      </c>
      <c r="Q33" s="248">
        <f>ROUND($M33*$Q$32*3,0)</f>
        <v>937619</v>
      </c>
      <c r="R33" s="249">
        <f>SUM(O33:Q33)</f>
        <v>3586393</v>
      </c>
      <c r="S33" s="245">
        <f t="shared" ref="S33:S47" si="7">+S34-1</f>
        <v>1</v>
      </c>
    </row>
    <row r="34" spans="1:19" x14ac:dyDescent="0.25">
      <c r="A34" s="224">
        <v>2</v>
      </c>
      <c r="B34" s="245">
        <f>VLOOKUP(A34,B4:C24,2,0)</f>
        <v>777092</v>
      </c>
      <c r="C34" s="245">
        <f>VLOOKUP(A34,B4:E24,4,0)</f>
        <v>2925583</v>
      </c>
      <c r="D34" s="245">
        <f t="shared" ref="D34:D52" si="8">ROUND((B34+C34)/190,0)</f>
        <v>19488</v>
      </c>
      <c r="E34" s="246">
        <f t="shared" ref="E34:E52" si="9">ROUND(D34*1.25,0)</f>
        <v>24360</v>
      </c>
      <c r="F34" s="246">
        <f t="shared" ref="F34:F52" si="10">ROUND(D34*1.5,0)</f>
        <v>29232</v>
      </c>
      <c r="H34" s="224">
        <v>2</v>
      </c>
      <c r="I34" s="245">
        <f t="shared" si="5"/>
        <v>777092</v>
      </c>
      <c r="J34" s="245">
        <f t="shared" si="6"/>
        <v>2925583</v>
      </c>
      <c r="K34" s="245">
        <f>VLOOKUP(H34,B5:H24,7,0)</f>
        <v>25451</v>
      </c>
      <c r="L34" s="245">
        <f t="shared" ref="L34:L52" si="11">VLOOKUP(H34,B5:J24,9,0)</f>
        <v>0</v>
      </c>
      <c r="M34" s="241">
        <f t="shared" ref="M34:M52" si="12">SUM(I34:L34)</f>
        <v>3728126</v>
      </c>
      <c r="N34" s="247">
        <f t="shared" ref="N34:N52" si="13">ROUND(M34*0.306,0)</f>
        <v>1140807</v>
      </c>
      <c r="O34" s="248">
        <f t="shared" ref="O34:O52" si="14">ROUND($M34*$O$32*3,0)</f>
        <v>1677657</v>
      </c>
      <c r="P34" s="248">
        <f t="shared" ref="P34:P52" si="15">ROUND($M34*$P$32*3,0)</f>
        <v>850013</v>
      </c>
      <c r="Q34" s="248">
        <f t="shared" ref="Q34:Q52" si="16">ROUND($M34*$Q$32*3,0)</f>
        <v>894750</v>
      </c>
      <c r="R34" s="249">
        <f t="shared" ref="R34:R52" si="17">SUM(O34:Q34)</f>
        <v>3422420</v>
      </c>
      <c r="S34" s="245">
        <f t="shared" si="7"/>
        <v>2</v>
      </c>
    </row>
    <row r="35" spans="1:19" x14ac:dyDescent="0.25">
      <c r="A35" s="224">
        <v>3</v>
      </c>
      <c r="B35" s="245">
        <f>VLOOKUP(A35,B4:C24,2,0)</f>
        <v>820481</v>
      </c>
      <c r="C35" s="245">
        <f>VLOOKUP(A35,B4:E24,4,0)</f>
        <v>2412437</v>
      </c>
      <c r="D35" s="245">
        <f t="shared" si="8"/>
        <v>17015</v>
      </c>
      <c r="E35" s="246">
        <f t="shared" si="9"/>
        <v>21269</v>
      </c>
      <c r="F35" s="246">
        <f t="shared" si="10"/>
        <v>25523</v>
      </c>
      <c r="H35" s="224">
        <v>3</v>
      </c>
      <c r="I35" s="245">
        <f t="shared" si="5"/>
        <v>820481</v>
      </c>
      <c r="J35" s="245">
        <f t="shared" si="6"/>
        <v>2412437</v>
      </c>
      <c r="K35" s="245">
        <f t="shared" ref="K35:K52" si="18">VLOOKUP(H35,B6:H25,7,0)</f>
        <v>25451</v>
      </c>
      <c r="L35" s="245">
        <f t="shared" si="11"/>
        <v>34913</v>
      </c>
      <c r="M35" s="241">
        <f t="shared" si="12"/>
        <v>3293282</v>
      </c>
      <c r="N35" s="247">
        <f t="shared" si="13"/>
        <v>1007744</v>
      </c>
      <c r="O35" s="248">
        <f t="shared" si="14"/>
        <v>1481977</v>
      </c>
      <c r="P35" s="248">
        <f t="shared" si="15"/>
        <v>750868</v>
      </c>
      <c r="Q35" s="248">
        <f t="shared" si="16"/>
        <v>790388</v>
      </c>
      <c r="R35" s="249">
        <f t="shared" si="17"/>
        <v>3023233</v>
      </c>
      <c r="S35" s="245">
        <f t="shared" si="7"/>
        <v>3</v>
      </c>
    </row>
    <row r="36" spans="1:19" x14ac:dyDescent="0.25">
      <c r="A36" s="224">
        <v>4</v>
      </c>
      <c r="B36" s="245">
        <f>VLOOKUP(A36,B4:C24,2,0)</f>
        <v>774061</v>
      </c>
      <c r="C36" s="245">
        <f>VLOOKUP(A36,B4:E24,4,0)</f>
        <v>2340591</v>
      </c>
      <c r="D36" s="245">
        <f t="shared" si="8"/>
        <v>16393</v>
      </c>
      <c r="E36" s="246">
        <f t="shared" si="9"/>
        <v>20491</v>
      </c>
      <c r="F36" s="246">
        <f t="shared" si="10"/>
        <v>24590</v>
      </c>
      <c r="H36" s="224">
        <v>4</v>
      </c>
      <c r="I36" s="245">
        <f t="shared" si="5"/>
        <v>774061</v>
      </c>
      <c r="J36" s="245">
        <f t="shared" si="6"/>
        <v>2340591</v>
      </c>
      <c r="K36" s="245">
        <f>VLOOKUP(H36,B7:H26,7,0)</f>
        <v>25451</v>
      </c>
      <c r="L36" s="245">
        <f t="shared" si="11"/>
        <v>34913</v>
      </c>
      <c r="M36" s="241">
        <f t="shared" si="12"/>
        <v>3175016</v>
      </c>
      <c r="N36" s="247">
        <f t="shared" si="13"/>
        <v>971555</v>
      </c>
      <c r="O36" s="248">
        <f t="shared" si="14"/>
        <v>1428757</v>
      </c>
      <c r="P36" s="248">
        <f t="shared" si="15"/>
        <v>723904</v>
      </c>
      <c r="Q36" s="248">
        <f t="shared" si="16"/>
        <v>762004</v>
      </c>
      <c r="R36" s="249">
        <f t="shared" si="17"/>
        <v>2914665</v>
      </c>
      <c r="S36" s="245">
        <f t="shared" si="7"/>
        <v>4</v>
      </c>
    </row>
    <row r="37" spans="1:19" x14ac:dyDescent="0.25">
      <c r="A37" s="224">
        <v>5</v>
      </c>
      <c r="B37" s="245">
        <f>VLOOKUP(A37,B4:C24,2,0)</f>
        <v>730272</v>
      </c>
      <c r="C37" s="245">
        <f>VLOOKUP(A37,B4:E24,4,0)</f>
        <v>2011682</v>
      </c>
      <c r="D37" s="245">
        <f t="shared" si="8"/>
        <v>14431</v>
      </c>
      <c r="E37" s="246">
        <f t="shared" si="9"/>
        <v>18039</v>
      </c>
      <c r="F37" s="246">
        <f t="shared" si="10"/>
        <v>21647</v>
      </c>
      <c r="H37" s="224">
        <v>5</v>
      </c>
      <c r="I37" s="245">
        <f t="shared" si="5"/>
        <v>730272</v>
      </c>
      <c r="J37" s="245">
        <f t="shared" si="6"/>
        <v>2011682</v>
      </c>
      <c r="K37" s="245">
        <f>VLOOKUP(H37,B8:H27,7,0)</f>
        <v>25451</v>
      </c>
      <c r="L37" s="245">
        <f t="shared" si="11"/>
        <v>34913</v>
      </c>
      <c r="M37" s="241">
        <f t="shared" si="12"/>
        <v>2802318</v>
      </c>
      <c r="N37" s="247">
        <f t="shared" si="13"/>
        <v>857509</v>
      </c>
      <c r="O37" s="248">
        <f t="shared" si="14"/>
        <v>1261043</v>
      </c>
      <c r="P37" s="248">
        <f t="shared" si="15"/>
        <v>638929</v>
      </c>
      <c r="Q37" s="248">
        <f t="shared" si="16"/>
        <v>672556</v>
      </c>
      <c r="R37" s="249">
        <f t="shared" si="17"/>
        <v>2572528</v>
      </c>
      <c r="S37" s="245">
        <f t="shared" si="7"/>
        <v>5</v>
      </c>
    </row>
    <row r="38" spans="1:19" x14ac:dyDescent="0.25">
      <c r="A38" s="224">
        <v>6</v>
      </c>
      <c r="B38" s="245">
        <f>VLOOKUP(A38,B4:C24,2,0)</f>
        <v>688865</v>
      </c>
      <c r="C38" s="245">
        <f>VLOOKUP(A38,B4:E24,4,0)</f>
        <v>1699985</v>
      </c>
      <c r="D38" s="245">
        <f t="shared" si="8"/>
        <v>12573</v>
      </c>
      <c r="E38" s="246">
        <f t="shared" si="9"/>
        <v>15716</v>
      </c>
      <c r="F38" s="246">
        <f t="shared" si="10"/>
        <v>18860</v>
      </c>
      <c r="H38" s="224">
        <v>6</v>
      </c>
      <c r="I38" s="245">
        <f t="shared" si="5"/>
        <v>688865</v>
      </c>
      <c r="J38" s="245">
        <f t="shared" si="6"/>
        <v>1699985</v>
      </c>
      <c r="K38" s="245">
        <f t="shared" si="18"/>
        <v>25450</v>
      </c>
      <c r="L38" s="245">
        <f t="shared" si="11"/>
        <v>40148</v>
      </c>
      <c r="M38" s="241">
        <f t="shared" si="12"/>
        <v>2454448</v>
      </c>
      <c r="N38" s="247">
        <f t="shared" si="13"/>
        <v>751061</v>
      </c>
      <c r="O38" s="248">
        <f t="shared" si="14"/>
        <v>1104502</v>
      </c>
      <c r="P38" s="248">
        <f t="shared" si="15"/>
        <v>559614</v>
      </c>
      <c r="Q38" s="248">
        <f t="shared" si="16"/>
        <v>589068</v>
      </c>
      <c r="R38" s="249">
        <f t="shared" si="17"/>
        <v>2253184</v>
      </c>
      <c r="S38" s="245">
        <f t="shared" si="7"/>
        <v>6</v>
      </c>
    </row>
    <row r="39" spans="1:19" x14ac:dyDescent="0.25">
      <c r="A39" s="224">
        <v>7</v>
      </c>
      <c r="B39" s="245">
        <f>VLOOKUP(A39,B4:C24,2,0)</f>
        <v>643731</v>
      </c>
      <c r="C39" s="245">
        <f>VLOOKUP(A39,B4:E24,4,0)</f>
        <v>1292465</v>
      </c>
      <c r="D39" s="245">
        <f t="shared" si="8"/>
        <v>10191</v>
      </c>
      <c r="E39" s="246">
        <f t="shared" si="9"/>
        <v>12739</v>
      </c>
      <c r="F39" s="246">
        <f t="shared" si="10"/>
        <v>15287</v>
      </c>
      <c r="H39" s="224">
        <v>7</v>
      </c>
      <c r="I39" s="245">
        <f t="shared" si="5"/>
        <v>643731</v>
      </c>
      <c r="J39" s="245">
        <f t="shared" si="6"/>
        <v>1292465</v>
      </c>
      <c r="K39" s="245">
        <f>VLOOKUP(H39,B10:H29,7,0)</f>
        <v>25803</v>
      </c>
      <c r="L39" s="245">
        <f t="shared" si="11"/>
        <v>40702</v>
      </c>
      <c r="M39" s="241">
        <f t="shared" si="12"/>
        <v>2002701</v>
      </c>
      <c r="N39" s="247">
        <f>ROUND(M39*0.306,0)</f>
        <v>612827</v>
      </c>
      <c r="O39" s="248">
        <f t="shared" si="14"/>
        <v>901215</v>
      </c>
      <c r="P39" s="248">
        <f t="shared" si="15"/>
        <v>456616</v>
      </c>
      <c r="Q39" s="248">
        <f t="shared" si="16"/>
        <v>480648</v>
      </c>
      <c r="R39" s="249">
        <f t="shared" si="17"/>
        <v>1838479</v>
      </c>
      <c r="S39" s="245">
        <f t="shared" si="7"/>
        <v>7</v>
      </c>
    </row>
    <row r="40" spans="1:19" x14ac:dyDescent="0.25">
      <c r="A40" s="224">
        <v>8</v>
      </c>
      <c r="B40" s="245">
        <f>VLOOKUP(A40,B4:C24,2,0)</f>
        <v>607230</v>
      </c>
      <c r="C40" s="245">
        <f>VLOOKUP(A40,B4:E24,4,0)</f>
        <v>1011051</v>
      </c>
      <c r="D40" s="245">
        <f t="shared" si="8"/>
        <v>8517</v>
      </c>
      <c r="E40" s="246">
        <f t="shared" si="9"/>
        <v>10646</v>
      </c>
      <c r="F40" s="246">
        <f t="shared" si="10"/>
        <v>12776</v>
      </c>
      <c r="H40" s="224">
        <v>8</v>
      </c>
      <c r="I40" s="245">
        <f t="shared" si="5"/>
        <v>607230</v>
      </c>
      <c r="J40" s="245">
        <f t="shared" si="6"/>
        <v>1011051</v>
      </c>
      <c r="K40" s="245">
        <f t="shared" si="18"/>
        <v>26290</v>
      </c>
      <c r="L40" s="245">
        <f t="shared" si="11"/>
        <v>41470</v>
      </c>
      <c r="M40" s="241">
        <f t="shared" si="12"/>
        <v>1686041</v>
      </c>
      <c r="N40" s="247">
        <f>ROUND(M40*0.306,0)</f>
        <v>515929</v>
      </c>
      <c r="O40" s="248">
        <f>ROUND($M40*$O$32*3,0)</f>
        <v>758718</v>
      </c>
      <c r="P40" s="248">
        <f t="shared" si="15"/>
        <v>384417</v>
      </c>
      <c r="Q40" s="248">
        <f t="shared" si="16"/>
        <v>404650</v>
      </c>
      <c r="R40" s="249">
        <f>SUM(O40:Q40)</f>
        <v>1547785</v>
      </c>
      <c r="S40" s="245">
        <f t="shared" si="7"/>
        <v>8</v>
      </c>
    </row>
    <row r="41" spans="1:19" x14ac:dyDescent="0.25">
      <c r="A41" s="224">
        <v>9</v>
      </c>
      <c r="B41" s="245">
        <f>VLOOKUP(A41,B4:C24,2,0)</f>
        <v>562195</v>
      </c>
      <c r="C41" s="245">
        <f>VLOOKUP(A41,B4:E24,4,0)</f>
        <v>776871.18815294863</v>
      </c>
      <c r="D41" s="245">
        <f t="shared" si="8"/>
        <v>7048</v>
      </c>
      <c r="E41" s="246">
        <f t="shared" si="9"/>
        <v>8810</v>
      </c>
      <c r="F41" s="246">
        <f t="shared" si="10"/>
        <v>10572</v>
      </c>
      <c r="G41" s="222"/>
      <c r="H41" s="224">
        <v>9</v>
      </c>
      <c r="I41" s="245">
        <f t="shared" si="5"/>
        <v>562195</v>
      </c>
      <c r="J41" s="245">
        <f t="shared" si="6"/>
        <v>776871.18815294863</v>
      </c>
      <c r="K41" s="245">
        <f>VLOOKUP(H41,B12:H31,7,0)</f>
        <v>26290</v>
      </c>
      <c r="L41" s="245">
        <f t="shared" si="11"/>
        <v>41470</v>
      </c>
      <c r="M41" s="241">
        <f t="shared" si="12"/>
        <v>1406826.1881529486</v>
      </c>
      <c r="N41" s="247">
        <f t="shared" si="13"/>
        <v>430489</v>
      </c>
      <c r="O41" s="248">
        <f t="shared" si="14"/>
        <v>633072</v>
      </c>
      <c r="P41" s="248">
        <f t="shared" si="15"/>
        <v>320756</v>
      </c>
      <c r="Q41" s="248">
        <f t="shared" si="16"/>
        <v>337638</v>
      </c>
      <c r="R41" s="249">
        <f>SUM(O41:Q41)</f>
        <v>1291466</v>
      </c>
      <c r="S41" s="245">
        <f t="shared" si="7"/>
        <v>9</v>
      </c>
    </row>
    <row r="42" spans="1:19" x14ac:dyDescent="0.25">
      <c r="A42" s="224">
        <v>10</v>
      </c>
      <c r="B42" s="245">
        <f>VLOOKUP(A42,B4:C24,2,0)</f>
        <v>520589.15904821706</v>
      </c>
      <c r="C42" s="245">
        <f>VLOOKUP(A42,B4:E24,4,0)</f>
        <v>587228</v>
      </c>
      <c r="D42" s="245">
        <f t="shared" si="8"/>
        <v>5831</v>
      </c>
      <c r="E42" s="246">
        <f t="shared" si="9"/>
        <v>7289</v>
      </c>
      <c r="F42" s="246">
        <f t="shared" si="10"/>
        <v>8747</v>
      </c>
      <c r="H42" s="224">
        <v>10</v>
      </c>
      <c r="I42" s="245">
        <f t="shared" si="5"/>
        <v>520589.15904821706</v>
      </c>
      <c r="J42" s="245">
        <f t="shared" si="6"/>
        <v>587228</v>
      </c>
      <c r="K42" s="245">
        <f>VLOOKUP(H42,B13:H32,7,0)</f>
        <v>26290</v>
      </c>
      <c r="L42" s="245">
        <f t="shared" si="11"/>
        <v>41470</v>
      </c>
      <c r="M42" s="241">
        <f t="shared" si="12"/>
        <v>1175577.1590482171</v>
      </c>
      <c r="N42" s="247">
        <f t="shared" si="13"/>
        <v>359727</v>
      </c>
      <c r="O42" s="248">
        <f t="shared" si="14"/>
        <v>529010</v>
      </c>
      <c r="P42" s="248">
        <f t="shared" si="15"/>
        <v>268032</v>
      </c>
      <c r="Q42" s="248">
        <f t="shared" si="16"/>
        <v>282139</v>
      </c>
      <c r="R42" s="249">
        <f t="shared" si="17"/>
        <v>1079181</v>
      </c>
      <c r="S42" s="245">
        <f t="shared" si="7"/>
        <v>10</v>
      </c>
    </row>
    <row r="43" spans="1:19" x14ac:dyDescent="0.25">
      <c r="A43" s="224">
        <v>11</v>
      </c>
      <c r="B43" s="245">
        <f>VLOOKUP(A43,B4:C24,2,0)</f>
        <v>482058.53890824801</v>
      </c>
      <c r="C43" s="245">
        <f>VLOOKUP(A43,B4:E24,4,0)</f>
        <v>443716</v>
      </c>
      <c r="D43" s="245">
        <f t="shared" si="8"/>
        <v>4872</v>
      </c>
      <c r="E43" s="246">
        <f t="shared" si="9"/>
        <v>6090</v>
      </c>
      <c r="F43" s="246">
        <f t="shared" si="10"/>
        <v>7308</v>
      </c>
      <c r="H43" s="224">
        <v>11</v>
      </c>
      <c r="I43" s="245">
        <f t="shared" si="5"/>
        <v>482058.53890824801</v>
      </c>
      <c r="J43" s="245">
        <f t="shared" si="6"/>
        <v>443716</v>
      </c>
      <c r="K43" s="245">
        <f>VLOOKUP(H43,B14:H33,7,0)</f>
        <v>26290</v>
      </c>
      <c r="L43" s="245">
        <f t="shared" si="11"/>
        <v>41470</v>
      </c>
      <c r="M43" s="241">
        <f t="shared" si="12"/>
        <v>993534.53890824807</v>
      </c>
      <c r="N43" s="247">
        <f t="shared" si="13"/>
        <v>304022</v>
      </c>
      <c r="O43" s="248">
        <f t="shared" si="14"/>
        <v>447091</v>
      </c>
      <c r="P43" s="248">
        <f t="shared" si="15"/>
        <v>226526</v>
      </c>
      <c r="Q43" s="248">
        <f t="shared" si="16"/>
        <v>238448</v>
      </c>
      <c r="R43" s="249">
        <f t="shared" si="17"/>
        <v>912065</v>
      </c>
      <c r="S43" s="245">
        <f t="shared" si="7"/>
        <v>11</v>
      </c>
    </row>
    <row r="44" spans="1:19" x14ac:dyDescent="0.25">
      <c r="A44" s="224">
        <v>12</v>
      </c>
      <c r="B44" s="245">
        <f>VLOOKUP(A44,B4:C24,2,0)</f>
        <v>446351</v>
      </c>
      <c r="C44" s="245">
        <f>VLOOKUP(A44,B4:E24,4,0)</f>
        <v>327519</v>
      </c>
      <c r="D44" s="245">
        <f t="shared" si="8"/>
        <v>4073</v>
      </c>
      <c r="E44" s="246">
        <f t="shared" si="9"/>
        <v>5091</v>
      </c>
      <c r="F44" s="246">
        <f t="shared" si="10"/>
        <v>6110</v>
      </c>
      <c r="H44" s="224">
        <v>12</v>
      </c>
      <c r="I44" s="245">
        <f t="shared" si="5"/>
        <v>446351</v>
      </c>
      <c r="J44" s="245">
        <f t="shared" si="6"/>
        <v>327519</v>
      </c>
      <c r="K44" s="245">
        <f>VLOOKUP(H44,B15:H34,7,0)</f>
        <v>97831</v>
      </c>
      <c r="L44" s="245">
        <f t="shared" si="11"/>
        <v>68512.872862053438</v>
      </c>
      <c r="M44" s="241">
        <f>SUM(I44:L44)</f>
        <v>940213.87286205345</v>
      </c>
      <c r="N44" s="247">
        <f t="shared" si="13"/>
        <v>287705</v>
      </c>
      <c r="O44" s="248">
        <f t="shared" si="14"/>
        <v>423096</v>
      </c>
      <c r="P44" s="248">
        <f t="shared" si="15"/>
        <v>214369</v>
      </c>
      <c r="Q44" s="248">
        <f t="shared" si="16"/>
        <v>225651</v>
      </c>
      <c r="R44" s="249">
        <f t="shared" si="17"/>
        <v>863116</v>
      </c>
      <c r="S44" s="245">
        <f t="shared" si="7"/>
        <v>12</v>
      </c>
    </row>
    <row r="45" spans="1:19" x14ac:dyDescent="0.25">
      <c r="A45" s="224">
        <v>13</v>
      </c>
      <c r="B45" s="245">
        <f>VLOOKUP(A45,B4:C24,2,0)</f>
        <v>413272.04443150299</v>
      </c>
      <c r="C45" s="245">
        <f>VLOOKUP(A45,B4:E24,4,0)</f>
        <v>243722.8278785898</v>
      </c>
      <c r="D45" s="245">
        <f t="shared" si="8"/>
        <v>3458</v>
      </c>
      <c r="E45" s="246">
        <f t="shared" si="9"/>
        <v>4323</v>
      </c>
      <c r="F45" s="246">
        <f t="shared" si="10"/>
        <v>5187</v>
      </c>
      <c r="H45" s="224">
        <v>13</v>
      </c>
      <c r="I45" s="245">
        <f t="shared" si="5"/>
        <v>413272.04443150299</v>
      </c>
      <c r="J45" s="245">
        <f t="shared" si="6"/>
        <v>243722.8278785898</v>
      </c>
      <c r="K45" s="245">
        <f>VLOOKUP(H45,B16:H35,7,0)</f>
        <v>94939.72894598679</v>
      </c>
      <c r="L45" s="245">
        <f t="shared" si="11"/>
        <v>68512.872862053438</v>
      </c>
      <c r="M45" s="241">
        <f t="shared" si="12"/>
        <v>820447.47411813308</v>
      </c>
      <c r="N45" s="247">
        <f t="shared" si="13"/>
        <v>251057</v>
      </c>
      <c r="O45" s="248">
        <f t="shared" si="14"/>
        <v>369201</v>
      </c>
      <c r="P45" s="248">
        <f t="shared" si="15"/>
        <v>187062</v>
      </c>
      <c r="Q45" s="248">
        <f t="shared" si="16"/>
        <v>196907</v>
      </c>
      <c r="R45" s="249">
        <f t="shared" si="17"/>
        <v>753170</v>
      </c>
      <c r="S45" s="245">
        <f t="shared" si="7"/>
        <v>13</v>
      </c>
    </row>
    <row r="46" spans="1:19" x14ac:dyDescent="0.25">
      <c r="A46" s="224">
        <v>14</v>
      </c>
      <c r="B46" s="245">
        <f>VLOOKUP(A46,B4:C24,2,0)</f>
        <v>382597</v>
      </c>
      <c r="C46" s="245">
        <f>VLOOKUP(A46,B4:E24,4,0)</f>
        <v>184102.60642967385</v>
      </c>
      <c r="D46" s="245">
        <f t="shared" si="8"/>
        <v>2983</v>
      </c>
      <c r="E46" s="246">
        <f t="shared" si="9"/>
        <v>3729</v>
      </c>
      <c r="F46" s="246">
        <f t="shared" si="10"/>
        <v>4475</v>
      </c>
      <c r="H46" s="224">
        <v>14</v>
      </c>
      <c r="I46" s="245">
        <f t="shared" si="5"/>
        <v>382597</v>
      </c>
      <c r="J46" s="245">
        <f t="shared" si="6"/>
        <v>184102.60642967385</v>
      </c>
      <c r="K46" s="245">
        <f t="shared" si="18"/>
        <v>94179.615445960022</v>
      </c>
      <c r="L46" s="245">
        <f t="shared" si="11"/>
        <v>68512.872862053438</v>
      </c>
      <c r="M46" s="241">
        <f t="shared" si="12"/>
        <v>729392.09473768726</v>
      </c>
      <c r="N46" s="247">
        <f t="shared" si="13"/>
        <v>223194</v>
      </c>
      <c r="O46" s="248">
        <f t="shared" si="14"/>
        <v>328226</v>
      </c>
      <c r="P46" s="248">
        <f t="shared" si="15"/>
        <v>166301</v>
      </c>
      <c r="Q46" s="248">
        <f t="shared" si="16"/>
        <v>175054</v>
      </c>
      <c r="R46" s="249">
        <f t="shared" si="17"/>
        <v>669581</v>
      </c>
      <c r="S46" s="245">
        <f t="shared" si="7"/>
        <v>14</v>
      </c>
    </row>
    <row r="47" spans="1:19" x14ac:dyDescent="0.25">
      <c r="A47" s="224">
        <v>15</v>
      </c>
      <c r="B47" s="245">
        <f>VLOOKUP(A47,B4:C24,2,0)</f>
        <v>354282.39057890454</v>
      </c>
      <c r="C47" s="245">
        <f>VLOOKUP(A47,B4:E24,4,0)</f>
        <v>147874.84594343093</v>
      </c>
      <c r="D47" s="245">
        <f t="shared" si="8"/>
        <v>2643</v>
      </c>
      <c r="E47" s="246">
        <f t="shared" si="9"/>
        <v>3304</v>
      </c>
      <c r="F47" s="246">
        <f t="shared" si="10"/>
        <v>3965</v>
      </c>
      <c r="H47" s="224">
        <v>15</v>
      </c>
      <c r="I47" s="245">
        <f t="shared" si="5"/>
        <v>354282.39057890454</v>
      </c>
      <c r="J47" s="245">
        <f t="shared" si="6"/>
        <v>147874.84594343093</v>
      </c>
      <c r="K47" s="245">
        <f>VLOOKUP(H47,B18:H37,7,0)</f>
        <v>81103.476481090809</v>
      </c>
      <c r="L47" s="245">
        <f t="shared" si="11"/>
        <v>68512.872862053438</v>
      </c>
      <c r="M47" s="241">
        <f t="shared" si="12"/>
        <v>651773.58586547966</v>
      </c>
      <c r="N47" s="247">
        <f t="shared" si="13"/>
        <v>199443</v>
      </c>
      <c r="O47" s="248">
        <f t="shared" si="14"/>
        <v>293298</v>
      </c>
      <c r="P47" s="248">
        <f t="shared" si="15"/>
        <v>148604</v>
      </c>
      <c r="Q47" s="248">
        <f t="shared" si="16"/>
        <v>156426</v>
      </c>
      <c r="R47" s="249">
        <f t="shared" si="17"/>
        <v>598328</v>
      </c>
      <c r="S47" s="245">
        <f t="shared" si="7"/>
        <v>15</v>
      </c>
    </row>
    <row r="48" spans="1:19" x14ac:dyDescent="0.25">
      <c r="A48" s="224">
        <v>16</v>
      </c>
      <c r="B48" s="245">
        <f>VLOOKUP(A48,B4:C24,2,0)</f>
        <v>327977</v>
      </c>
      <c r="C48" s="245">
        <f>VLOOKUP(A48,B4:E24,4,0)</f>
        <v>145230.32149270861</v>
      </c>
      <c r="D48" s="245">
        <f t="shared" si="8"/>
        <v>2491</v>
      </c>
      <c r="E48" s="246">
        <f t="shared" si="9"/>
        <v>3114</v>
      </c>
      <c r="F48" s="246">
        <f t="shared" si="10"/>
        <v>3737</v>
      </c>
      <c r="H48" s="224">
        <v>16</v>
      </c>
      <c r="I48" s="245">
        <f t="shared" si="5"/>
        <v>327977</v>
      </c>
      <c r="J48" s="245">
        <f t="shared" si="6"/>
        <v>145230.32149270861</v>
      </c>
      <c r="K48" s="245">
        <f>VLOOKUP(H48,B19:H38,7,0)</f>
        <v>85446.603806690968</v>
      </c>
      <c r="L48" s="245">
        <f t="shared" si="11"/>
        <v>68512.872862053438</v>
      </c>
      <c r="M48" s="241">
        <f t="shared" si="12"/>
        <v>627166.7981614531</v>
      </c>
      <c r="N48" s="247">
        <f t="shared" si="13"/>
        <v>191913</v>
      </c>
      <c r="O48" s="248">
        <f t="shared" si="14"/>
        <v>282225</v>
      </c>
      <c r="P48" s="248">
        <f t="shared" si="15"/>
        <v>142994</v>
      </c>
      <c r="Q48" s="248">
        <f t="shared" si="16"/>
        <v>150520</v>
      </c>
      <c r="R48" s="249">
        <f t="shared" si="17"/>
        <v>575739</v>
      </c>
      <c r="S48" s="245">
        <f>+S49-1</f>
        <v>16</v>
      </c>
    </row>
    <row r="49" spans="1:19" x14ac:dyDescent="0.25">
      <c r="A49" s="224">
        <v>17</v>
      </c>
      <c r="B49" s="245">
        <f>VLOOKUP(A49,B4:C24,2,0)</f>
        <v>303691.18548042502</v>
      </c>
      <c r="C49" s="245">
        <f>VLOOKUP(A49,B4:E24,4,0)</f>
        <v>112286.95307539837</v>
      </c>
      <c r="D49" s="245">
        <f t="shared" si="8"/>
        <v>2189</v>
      </c>
      <c r="E49" s="246">
        <f t="shared" si="9"/>
        <v>2736</v>
      </c>
      <c r="F49" s="246">
        <f t="shared" si="10"/>
        <v>3284</v>
      </c>
      <c r="H49" s="224">
        <v>17</v>
      </c>
      <c r="I49" s="245">
        <f t="shared" si="5"/>
        <v>303691.18548042502</v>
      </c>
      <c r="J49" s="245">
        <f t="shared" si="6"/>
        <v>112286.95307539837</v>
      </c>
      <c r="K49" s="245">
        <f t="shared" si="18"/>
        <v>79492.896612800134</v>
      </c>
      <c r="L49" s="245">
        <f t="shared" si="11"/>
        <v>68512.872862053438</v>
      </c>
      <c r="M49" s="241">
        <f t="shared" si="12"/>
        <v>563983.90803067689</v>
      </c>
      <c r="N49" s="247">
        <f t="shared" si="13"/>
        <v>172579</v>
      </c>
      <c r="O49" s="248">
        <f t="shared" si="14"/>
        <v>253793</v>
      </c>
      <c r="P49" s="248">
        <f t="shared" si="15"/>
        <v>128588</v>
      </c>
      <c r="Q49" s="248">
        <f t="shared" si="16"/>
        <v>135356</v>
      </c>
      <c r="R49" s="249">
        <f t="shared" si="17"/>
        <v>517737</v>
      </c>
      <c r="S49" s="245">
        <v>17</v>
      </c>
    </row>
    <row r="50" spans="1:19" x14ac:dyDescent="0.25">
      <c r="A50" s="224">
        <v>18</v>
      </c>
      <c r="B50" s="245">
        <f>VLOOKUP(A50,B4:C24,2,0)</f>
        <v>0</v>
      </c>
      <c r="C50" s="245">
        <f>VLOOKUP(A50,B4:E24,4,0)</f>
        <v>0</v>
      </c>
      <c r="D50" s="245">
        <f t="shared" si="8"/>
        <v>0</v>
      </c>
      <c r="E50" s="246">
        <f t="shared" si="9"/>
        <v>0</v>
      </c>
      <c r="F50" s="246">
        <f t="shared" si="10"/>
        <v>0</v>
      </c>
      <c r="H50" s="224">
        <v>18</v>
      </c>
      <c r="I50" s="245">
        <f t="shared" si="5"/>
        <v>0</v>
      </c>
      <c r="J50" s="245">
        <f t="shared" si="6"/>
        <v>0</v>
      </c>
      <c r="K50" s="245">
        <f t="shared" si="18"/>
        <v>0</v>
      </c>
      <c r="L50" s="245">
        <f t="shared" si="11"/>
        <v>0</v>
      </c>
      <c r="M50" s="241">
        <f t="shared" si="12"/>
        <v>0</v>
      </c>
      <c r="N50" s="247">
        <f t="shared" si="13"/>
        <v>0</v>
      </c>
      <c r="O50" s="248">
        <f t="shared" si="14"/>
        <v>0</v>
      </c>
      <c r="P50" s="248">
        <f t="shared" si="15"/>
        <v>0</v>
      </c>
      <c r="Q50" s="248">
        <f t="shared" si="16"/>
        <v>0</v>
      </c>
      <c r="R50" s="249">
        <f t="shared" si="17"/>
        <v>0</v>
      </c>
    </row>
    <row r="51" spans="1:19" x14ac:dyDescent="0.25">
      <c r="A51" s="224">
        <v>19</v>
      </c>
      <c r="B51" s="245">
        <f>VLOOKUP(A51,B4:C24,2,0)</f>
        <v>0</v>
      </c>
      <c r="C51" s="245">
        <f>VLOOKUP(A51,B4:E24,4,0)</f>
        <v>0</v>
      </c>
      <c r="D51" s="245">
        <f t="shared" si="8"/>
        <v>0</v>
      </c>
      <c r="E51" s="246">
        <f t="shared" si="9"/>
        <v>0</v>
      </c>
      <c r="F51" s="246">
        <f t="shared" si="10"/>
        <v>0</v>
      </c>
      <c r="H51" s="224">
        <v>19</v>
      </c>
      <c r="I51" s="245">
        <f t="shared" si="5"/>
        <v>0</v>
      </c>
      <c r="J51" s="245">
        <f t="shared" si="6"/>
        <v>0</v>
      </c>
      <c r="K51" s="245">
        <f t="shared" si="18"/>
        <v>0</v>
      </c>
      <c r="L51" s="245">
        <f t="shared" si="11"/>
        <v>0</v>
      </c>
      <c r="M51" s="241">
        <f t="shared" si="12"/>
        <v>0</v>
      </c>
      <c r="N51" s="247">
        <f t="shared" si="13"/>
        <v>0</v>
      </c>
      <c r="O51" s="248">
        <f t="shared" si="14"/>
        <v>0</v>
      </c>
      <c r="P51" s="248">
        <f t="shared" si="15"/>
        <v>0</v>
      </c>
      <c r="Q51" s="248">
        <f t="shared" si="16"/>
        <v>0</v>
      </c>
      <c r="R51" s="249">
        <f t="shared" si="17"/>
        <v>0</v>
      </c>
    </row>
    <row r="52" spans="1:19" x14ac:dyDescent="0.25">
      <c r="A52" s="224">
        <v>20</v>
      </c>
      <c r="B52" s="245">
        <f>VLOOKUP(A52,B4:C24,2,0)</f>
        <v>0</v>
      </c>
      <c r="C52" s="245">
        <f t="shared" ref="C52" si="19">VLOOKUP(A52,B22:E42,4,0)</f>
        <v>0</v>
      </c>
      <c r="D52" s="245">
        <f t="shared" si="8"/>
        <v>0</v>
      </c>
      <c r="E52" s="246">
        <f t="shared" si="9"/>
        <v>0</v>
      </c>
      <c r="F52" s="246">
        <f t="shared" si="10"/>
        <v>0</v>
      </c>
      <c r="H52" s="224">
        <v>20</v>
      </c>
      <c r="I52" s="245">
        <f t="shared" si="5"/>
        <v>0</v>
      </c>
      <c r="J52" s="245">
        <f t="shared" si="6"/>
        <v>0</v>
      </c>
      <c r="K52" s="245">
        <f t="shared" si="18"/>
        <v>0</v>
      </c>
      <c r="L52" s="245">
        <f t="shared" si="11"/>
        <v>0</v>
      </c>
      <c r="M52" s="241">
        <f t="shared" si="12"/>
        <v>0</v>
      </c>
      <c r="N52" s="247">
        <f t="shared" si="13"/>
        <v>0</v>
      </c>
      <c r="O52" s="248">
        <f t="shared" si="14"/>
        <v>0</v>
      </c>
      <c r="P52" s="248">
        <f t="shared" si="15"/>
        <v>0</v>
      </c>
      <c r="Q52" s="248">
        <f t="shared" si="16"/>
        <v>0</v>
      </c>
      <c r="R52" s="249">
        <f t="shared" si="17"/>
        <v>0</v>
      </c>
    </row>
    <row r="53" spans="1:19" x14ac:dyDescent="0.25">
      <c r="E53" s="222"/>
      <c r="F53" s="222"/>
    </row>
    <row r="54" spans="1:19" x14ac:dyDescent="0.25">
      <c r="E54" s="222">
        <f>+E41*25</f>
        <v>220250</v>
      </c>
      <c r="F54" s="222">
        <f>+F41*25</f>
        <v>264300</v>
      </c>
      <c r="G54" s="222"/>
      <c r="O54" s="262" t="s">
        <v>91</v>
      </c>
    </row>
    <row r="55" spans="1:19" x14ac:dyDescent="0.25">
      <c r="E55" s="222"/>
      <c r="F55" s="222"/>
      <c r="G55" s="222"/>
      <c r="O55" s="262" t="s">
        <v>92</v>
      </c>
    </row>
    <row r="56" spans="1:19" x14ac:dyDescent="0.25">
      <c r="E56" s="222"/>
      <c r="F56" s="222"/>
      <c r="G56" s="222"/>
      <c r="O56" s="262" t="s">
        <v>93</v>
      </c>
    </row>
    <row r="57" spans="1:19" x14ac:dyDescent="0.25">
      <c r="E57" s="222"/>
      <c r="F57" s="222"/>
      <c r="G57" s="222"/>
    </row>
    <row r="58" spans="1:19" x14ac:dyDescent="0.25">
      <c r="F58" s="222"/>
    </row>
    <row r="59" spans="1:19" x14ac:dyDescent="0.25">
      <c r="F59" s="222"/>
    </row>
    <row r="60" spans="1:19" x14ac:dyDescent="0.25">
      <c r="F60" s="222"/>
    </row>
    <row r="61" spans="1:19" x14ac:dyDescent="0.25">
      <c r="F61" s="222"/>
    </row>
    <row r="64" spans="1:19" x14ac:dyDescent="0.25">
      <c r="F64" s="222"/>
    </row>
    <row r="68" spans="6:6" x14ac:dyDescent="0.25">
      <c r="F68" s="222"/>
    </row>
  </sheetData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0.7" right="0.7" top="0.75" bottom="0.75" header="0.3" footer="0.3"/>
  <pageSetup paperSize="4632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20"/>
  <sheetViews>
    <sheetView zoomScaleNormal="100" workbookViewId="0">
      <pane ySplit="3" topLeftCell="A64" activePane="bottomLeft" state="frozen"/>
      <selection activeCell="V43" sqref="V43:W52"/>
      <selection pane="bottomLeft" activeCell="W35" sqref="W35"/>
    </sheetView>
  </sheetViews>
  <sheetFormatPr baseColWidth="10" defaultRowHeight="11.25" x14ac:dyDescent="0.2"/>
  <cols>
    <col min="1" max="1" width="29.7109375" style="4" bestFit="1" customWidth="1"/>
    <col min="2" max="3" width="9.7109375" style="4" customWidth="1"/>
    <col min="4" max="5" width="10.42578125" style="4" customWidth="1"/>
    <col min="6" max="7" width="9.7109375" style="4" customWidth="1"/>
    <col min="8" max="8" width="9.85546875" style="4" customWidth="1"/>
    <col min="9" max="11" width="9.7109375" style="4" customWidth="1"/>
    <col min="12" max="12" width="9.7109375" style="5" customWidth="1"/>
    <col min="13" max="21" width="9.7109375" style="4" customWidth="1"/>
    <col min="22" max="22" width="8" style="4" bestFit="1" customWidth="1"/>
    <col min="23" max="23" width="8.42578125" style="4" bestFit="1" customWidth="1"/>
    <col min="24" max="24" width="9.42578125" style="4" bestFit="1" customWidth="1"/>
    <col min="25" max="26" width="9.28515625" style="4" bestFit="1" customWidth="1"/>
    <col min="27" max="27" width="11.42578125" style="4" bestFit="1" customWidth="1"/>
    <col min="28" max="28" width="9.7109375" style="4" customWidth="1"/>
    <col min="29" max="34" width="10.7109375" style="4" customWidth="1"/>
    <col min="35" max="35" width="13.7109375" style="7" customWidth="1"/>
    <col min="36" max="36" width="8.7109375" style="4" bestFit="1" customWidth="1"/>
    <col min="37" max="16384" width="11.42578125" style="4"/>
  </cols>
  <sheetData>
    <row r="1" spans="1:35" s="150" customFormat="1" ht="23.25" x14ac:dyDescent="0.3">
      <c r="A1" s="181">
        <v>1.032</v>
      </c>
      <c r="B1" s="320" t="s">
        <v>49</v>
      </c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AI1" s="151"/>
    </row>
    <row r="2" spans="1:35" x14ac:dyDescent="0.2">
      <c r="U2" s="6"/>
    </row>
    <row r="3" spans="1:35" s="161" customFormat="1" ht="12.75" x14ac:dyDescent="0.2">
      <c r="A3" s="160" t="s">
        <v>1</v>
      </c>
      <c r="B3" s="160">
        <v>1</v>
      </c>
      <c r="C3" s="160">
        <v>2</v>
      </c>
      <c r="D3" s="160">
        <v>3</v>
      </c>
      <c r="E3" s="160">
        <v>4</v>
      </c>
      <c r="F3" s="160">
        <v>5</v>
      </c>
      <c r="G3" s="160">
        <v>6</v>
      </c>
      <c r="H3" s="160">
        <v>7</v>
      </c>
      <c r="I3" s="160">
        <v>8</v>
      </c>
      <c r="J3" s="160">
        <v>9</v>
      </c>
      <c r="K3" s="160">
        <v>10</v>
      </c>
      <c r="L3" s="160">
        <v>11</v>
      </c>
      <c r="M3" s="160">
        <v>12</v>
      </c>
      <c r="N3" s="160">
        <v>13</v>
      </c>
      <c r="O3" s="160">
        <v>14</v>
      </c>
      <c r="P3" s="160">
        <v>15</v>
      </c>
      <c r="Q3" s="160">
        <v>16</v>
      </c>
      <c r="R3" s="160">
        <v>17</v>
      </c>
      <c r="S3" s="160">
        <v>18</v>
      </c>
      <c r="T3" s="160">
        <v>19</v>
      </c>
      <c r="U3" s="160">
        <v>20</v>
      </c>
    </row>
    <row r="4" spans="1:35" x14ac:dyDescent="0.2">
      <c r="D4" s="12"/>
    </row>
    <row r="5" spans="1:35" x14ac:dyDescent="0.2">
      <c r="A5" s="10" t="s">
        <v>2</v>
      </c>
      <c r="B5" s="11">
        <f>ROUND('Tabla Homol.Dic.2015-Nov.2016'!B5*'Tabla Homol.Dic.2016-Nov.2017'!$A$1,0)</f>
        <v>612609</v>
      </c>
      <c r="C5" s="11">
        <f>ROUND('Tabla Homol.Dic.2015-Nov.2016'!C5*'Tabla Homol.Dic.2016-Nov.2017'!$A$1,0)</f>
        <v>578204</v>
      </c>
      <c r="D5" s="11">
        <f>ROUND('Tabla Homol.Dic.2015-Nov.2016'!D5*'Tabla Homol.Dic.2016-Nov.2017'!$A$1,0)</f>
        <v>610489</v>
      </c>
      <c r="E5" s="11">
        <f>ROUND('Tabla Homol.Dic.2015-Nov.2016'!E5*'Tabla Homol.Dic.2016-Nov.2017'!$A$1,0)</f>
        <v>575948</v>
      </c>
      <c r="F5" s="11">
        <f>ROUND('Tabla Homol.Dic.2015-Nov.2016'!F5*'Tabla Homol.Dic.2016-Nov.2017'!$A$1,0)</f>
        <v>543368</v>
      </c>
      <c r="G5" s="11">
        <f>ROUND('Tabla Homol.Dic.2015-Nov.2016'!G5*'Tabla Homol.Dic.2016-Nov.2017'!$A$1,0)</f>
        <v>512571</v>
      </c>
      <c r="H5" s="11">
        <f>ROUND('Tabla Homol.Dic.2015-Nov.2016'!H5*'Tabla Homol.Dic.2016-Nov.2017'!$A$1,0)</f>
        <v>472464</v>
      </c>
      <c r="I5" s="11">
        <f>ROUND('Tabla Homol.Dic.2015-Nov.2016'!I5*'Tabla Homol.Dic.2016-Nov.2017'!$A$1,0)</f>
        <v>437429</v>
      </c>
      <c r="J5" s="11">
        <f>ROUND('Tabla Homol.Dic.2015-Nov.2016'!J5*'Tabla Homol.Dic.2016-Nov.2017'!$A$1,0)</f>
        <v>404987</v>
      </c>
      <c r="K5" s="11">
        <f>ROUND('Tabla Homol.Dic.2015-Nov.2016'!K5*'Tabla Homol.Dic.2016-Nov.2017'!$A$1,0)</f>
        <v>375015</v>
      </c>
      <c r="L5" s="11">
        <f>ROUND('Tabla Homol.Dic.2015-Nov.2016'!L5*'Tabla Homol.Dic.2016-Nov.2017'!$A$1,0)</f>
        <v>347260</v>
      </c>
      <c r="M5" s="11">
        <f>ROUND('Tabla Homol.Dic.2015-Nov.2016'!M5*'Tabla Homol.Dic.2016-Nov.2017'!$A$1,0)</f>
        <v>321537</v>
      </c>
      <c r="N5" s="11">
        <f>ROUND('Tabla Homol.Dic.2015-Nov.2016'!N5*'Tabla Homol.Dic.2016-Nov.2017'!$A$1,0)</f>
        <v>297708</v>
      </c>
      <c r="O5" s="11">
        <f>ROUND('Tabla Homol.Dic.2015-Nov.2016'!O5*'Tabla Homol.Dic.2016-Nov.2017'!$A$1,0)</f>
        <v>275610</v>
      </c>
      <c r="P5" s="11">
        <f>ROUND('Tabla Homol.Dic.2015-Nov.2016'!P5*'Tabla Homol.Dic.2016-Nov.2017'!$A$1,0)</f>
        <v>255213</v>
      </c>
      <c r="Q5" s="11">
        <f>ROUND('Tabla Homol.Dic.2015-Nov.2016'!Q5*'Tabla Homol.Dic.2016-Nov.2017'!$A$1,0)</f>
        <v>236263</v>
      </c>
      <c r="R5" s="11">
        <f>ROUND('Tabla Homol.Dic.2015-Nov.2016'!R5*'Tabla Homol.Dic.2016-Nov.2017'!$A$1,0)</f>
        <v>218770</v>
      </c>
      <c r="S5" s="11">
        <f>ROUND('Tabla Homol.Dic.2015-Nov.2016'!S5*'Tabla Homol.Dic.2016-Nov.2017'!$A$1,0)</f>
        <v>202570</v>
      </c>
      <c r="T5" s="11">
        <f>ROUND('Tabla Homol.Dic.2015-Nov.2016'!T5*'Tabla Homol.Dic.2016-Nov.2017'!$A$1,0)</f>
        <v>189322</v>
      </c>
      <c r="U5" s="11">
        <f>ROUND('Tabla Homol.Dic.2015-Nov.2016'!U5*'Tabla Homol.Dic.2016-Nov.2017'!$A$1,0)</f>
        <v>176945</v>
      </c>
      <c r="W5" s="4">
        <f>+O5/30*14</f>
        <v>128618</v>
      </c>
      <c r="X5" s="12"/>
      <c r="Y5" s="12"/>
      <c r="Z5" s="12"/>
    </row>
    <row r="6" spans="1:35" s="154" customFormat="1" x14ac:dyDescent="0.2">
      <c r="A6" s="152" t="s">
        <v>3</v>
      </c>
      <c r="B6" s="153">
        <f>ROUND('Tabla Homol.Dic.2015-Nov.2016'!B6*'Tabla Homol.Dic.2016-Nov.2017'!$A$1,0)</f>
        <v>131711</v>
      </c>
      <c r="C6" s="153">
        <f>ROUND('Tabla Homol.Dic.2015-Nov.2016'!C6*'Tabla Homol.Dic.2016-Nov.2017'!$A$1,0)</f>
        <v>124314</v>
      </c>
      <c r="D6" s="153">
        <f>ROUND('Tabla Homol.Dic.2015-Nov.2016'!D6*'Tabla Homol.Dic.2016-Nov.2017'!$A$1,0)</f>
        <v>131255</v>
      </c>
      <c r="E6" s="153">
        <f>ROUND('Tabla Homol.Dic.2015-Nov.2016'!E6*'Tabla Homol.Dic.2016-Nov.2017'!$A$1,0)</f>
        <v>123829</v>
      </c>
      <c r="F6" s="153">
        <f>ROUND('Tabla Homol.Dic.2015-Nov.2016'!F6*'Tabla Homol.Dic.2016-Nov.2017'!$A$1,0)</f>
        <v>116823</v>
      </c>
      <c r="G6" s="153">
        <f>ROUND('Tabla Homol.Dic.2015-Nov.2016'!G6*'Tabla Homol.Dic.2016-Nov.2017'!$A$1,0)</f>
        <v>110203</v>
      </c>
      <c r="H6" s="153">
        <f>ROUND('Tabla Homol.Dic.2015-Nov.2016'!H6*'Tabla Homol.Dic.2016-Nov.2017'!$A$1,0)</f>
        <v>101580</v>
      </c>
      <c r="I6" s="153">
        <f>ROUND('Tabla Homol.Dic.2015-Nov.2016'!I6*'Tabla Homol.Dic.2016-Nov.2017'!$A$1,0)</f>
        <v>94047</v>
      </c>
      <c r="J6" s="153">
        <f>ROUND('Tabla Homol.Dic.2015-Nov.2016'!J6*'Tabla Homol.Dic.2016-Nov.2017'!$A$1,0)</f>
        <v>87072</v>
      </c>
      <c r="K6" s="153">
        <f>ROUND('Tabla Homol.Dic.2015-Nov.2016'!K6*'Tabla Homol.Dic.2016-Nov.2017'!$A$1,0)</f>
        <v>80628</v>
      </c>
      <c r="L6" s="153">
        <f>ROUND('Tabla Homol.Dic.2015-Nov.2016'!L6*'Tabla Homol.Dic.2016-Nov.2017'!$A$1,0)</f>
        <v>74660</v>
      </c>
      <c r="M6" s="153">
        <f>ROUND('Tabla Homol.Dic.2015-Nov.2016'!M6*'Tabla Homol.Dic.2016-Nov.2017'!$A$1,0)</f>
        <v>69131</v>
      </c>
      <c r="N6" s="153">
        <f>ROUND('Tabla Homol.Dic.2015-Nov.2016'!N6*'Tabla Homol.Dic.2016-Nov.2017'!$A$1,0)</f>
        <v>64008</v>
      </c>
      <c r="O6" s="153">
        <f>ROUND('Tabla Homol.Dic.2015-Nov.2016'!O6*'Tabla Homol.Dic.2016-Nov.2017'!$A$1,0)</f>
        <v>59255</v>
      </c>
      <c r="P6" s="153">
        <f>ROUND('Tabla Homol.Dic.2015-Nov.2016'!P6*'Tabla Homol.Dic.2016-Nov.2017'!$A$1,0)</f>
        <v>54870</v>
      </c>
      <c r="Q6" s="153">
        <f>ROUND('Tabla Homol.Dic.2015-Nov.2016'!Q6*'Tabla Homol.Dic.2016-Nov.2017'!$A$1,0)</f>
        <v>50797</v>
      </c>
      <c r="R6" s="153">
        <f>ROUND('Tabla Homol.Dic.2015-Nov.2016'!R6*'Tabla Homol.Dic.2016-Nov.2017'!$A$1,0)</f>
        <v>47035</v>
      </c>
      <c r="S6" s="153">
        <f>ROUND('Tabla Homol.Dic.2015-Nov.2016'!S6*'Tabla Homol.Dic.2016-Nov.2017'!$A$1,0)</f>
        <v>43552</v>
      </c>
      <c r="T6" s="153">
        <f>ROUND('Tabla Homol.Dic.2015-Nov.2016'!T6*'Tabla Homol.Dic.2016-Nov.2017'!$A$1,0)</f>
        <v>37864</v>
      </c>
      <c r="U6" s="153">
        <f>ROUND('Tabla Homol.Dic.2015-Nov.2016'!U6*'Tabla Homol.Dic.2016-Nov.2017'!$A$1,0)</f>
        <v>35389</v>
      </c>
      <c r="X6" s="155"/>
      <c r="Y6" s="155"/>
      <c r="Z6" s="155"/>
      <c r="AI6" s="156"/>
    </row>
    <row r="7" spans="1:35" x14ac:dyDescent="0.2">
      <c r="A7" s="10" t="str">
        <f>'[3]EMS 2011 DIC-10 HASTA NOVI-11'!A8</f>
        <v>ASIG MUNICIPAL</v>
      </c>
      <c r="B7" s="11">
        <f>ROUND('Tabla Homol.Dic.2015-Nov.2016'!B7*'Tabla Homol.Dic.2016-Nov.2017'!$A$1,0)</f>
        <v>2275312</v>
      </c>
      <c r="C7" s="11">
        <f>ROUND('Tabla Homol.Dic.2015-Nov.2016'!C7*'Tabla Homol.Dic.2016-Nov.2017'!$A$1,0)</f>
        <v>2176813</v>
      </c>
      <c r="D7" s="11">
        <f>ROUND('Tabla Homol.Dic.2015-Nov.2016'!D7*'Tabla Homol.Dic.2016-Nov.2017'!$A$1,0)</f>
        <v>1795002</v>
      </c>
      <c r="E7" s="11">
        <f>ROUND('Tabla Homol.Dic.2015-Nov.2016'!E7*'Tabla Homol.Dic.2016-Nov.2017'!$A$1,0)</f>
        <v>1741543</v>
      </c>
      <c r="F7" s="11">
        <f>ROUND('Tabla Homol.Dic.2015-Nov.2016'!F7*'Tabla Homol.Dic.2016-Nov.2017'!$A$1,0)</f>
        <v>1496816</v>
      </c>
      <c r="G7" s="11">
        <f>ROUND('Tabla Homol.Dic.2015-Nov.2016'!G7*'Tabla Homol.Dic.2016-Nov.2017'!$A$1,0)</f>
        <v>1264924</v>
      </c>
      <c r="H7" s="11">
        <f>ROUND('Tabla Homol.Dic.2015-Nov.2016'!H7*'Tabla Homol.Dic.2016-Nov.2017'!$A$1,0)</f>
        <v>948600</v>
      </c>
      <c r="I7" s="11">
        <f>ROUND('Tabla Homol.Dic.2015-Nov.2016'!I7*'Tabla Homol.Dic.2016-Nov.2017'!$A$1,0)</f>
        <v>728328</v>
      </c>
      <c r="J7" s="11">
        <f>ROUND('Tabla Homol.Dic.2015-Nov.2016'!J7*'Tabla Homol.Dic.2016-Nov.2017'!$A$1,0)</f>
        <v>559632</v>
      </c>
      <c r="K7" s="11">
        <f>ROUND('Tabla Homol.Dic.2015-Nov.2016'!K7*'Tabla Homol.Dic.2016-Nov.2017'!$A$1,0)</f>
        <v>423020</v>
      </c>
      <c r="L7" s="11">
        <f>ROUND('Tabla Homol.Dic.2015-Nov.2016'!L7*'Tabla Homol.Dic.2016-Nov.2017'!$A$1,0)</f>
        <v>319639</v>
      </c>
      <c r="M7" s="11">
        <f>ROUND('Tabla Homol.Dic.2015-Nov.2016'!M7*'Tabla Homol.Dic.2016-Nov.2017'!$A$1,0)</f>
        <v>235935</v>
      </c>
      <c r="N7" s="11">
        <f>ROUND('Tabla Homol.Dic.2015-Nov.2016'!N7*'Tabla Homol.Dic.2016-Nov.2017'!$A$1,0)</f>
        <v>175570</v>
      </c>
      <c r="O7" s="11">
        <f>ROUND('Tabla Homol.Dic.2015-Nov.2016'!O7*'Tabla Homol.Dic.2016-Nov.2017'!$A$1,0)</f>
        <v>132622</v>
      </c>
      <c r="P7" s="11">
        <f>ROUND('Tabla Homol.Dic.2015-Nov.2016'!P7*'Tabla Homol.Dic.2016-Nov.2017'!$A$1,0)</f>
        <v>106524</v>
      </c>
      <c r="Q7" s="11">
        <f>ROUND('Tabla Homol.Dic.2015-Nov.2016'!Q7*'Tabla Homol.Dic.2016-Nov.2017'!$A$1,0)</f>
        <v>104619</v>
      </c>
      <c r="R7" s="11">
        <f>ROUND('Tabla Homol.Dic.2015-Nov.2016'!R7*'Tabla Homol.Dic.2016-Nov.2017'!$A$1,0)</f>
        <v>80888</v>
      </c>
      <c r="S7" s="11">
        <f>ROUND('Tabla Homol.Dic.2015-Nov.2016'!S7*'Tabla Homol.Dic.2016-Nov.2017'!$A$1,0)</f>
        <v>78335</v>
      </c>
      <c r="T7" s="11">
        <f>ROUND('Tabla Homol.Dic.2015-Nov.2016'!T7*'Tabla Homol.Dic.2016-Nov.2017'!$A$1,0)</f>
        <v>85677</v>
      </c>
      <c r="U7" s="11">
        <f>ROUND('Tabla Homol.Dic.2015-Nov.2016'!U7*'Tabla Homol.Dic.2016-Nov.2017'!$A$1,0)</f>
        <v>67489</v>
      </c>
      <c r="X7" s="12"/>
      <c r="Y7" s="12"/>
      <c r="Z7" s="12"/>
    </row>
    <row r="8" spans="1:35" s="154" customFormat="1" x14ac:dyDescent="0.2">
      <c r="A8" s="152" t="str">
        <f>'[3]EMS 2011 DIC-10 HASTA NOVI-11'!A9</f>
        <v xml:space="preserve">ASIG.ZONA </v>
      </c>
      <c r="B8" s="153">
        <f>ROUND('Tabla Homol.Dic.2015-Nov.2016'!B8*'Tabla Homol.Dic.2016-Nov.2017'!$A$1,0)</f>
        <v>171530</v>
      </c>
      <c r="C8" s="153">
        <f>ROUND('Tabla Homol.Dic.2015-Nov.2016'!C8*'Tabla Homol.Dic.2016-Nov.2017'!$A$1,0)</f>
        <v>161897</v>
      </c>
      <c r="D8" s="153">
        <f>ROUND('Tabla Homol.Dic.2015-Nov.2016'!D8*'Tabla Homol.Dic.2016-Nov.2017'!$A$1,0)</f>
        <v>170937</v>
      </c>
      <c r="E8" s="153">
        <f>ROUND('Tabla Homol.Dic.2015-Nov.2016'!E8*'Tabla Homol.Dic.2016-Nov.2017'!$A$1,0)</f>
        <v>161267</v>
      </c>
      <c r="F8" s="153">
        <f>ROUND('Tabla Homol.Dic.2015-Nov.2016'!F8*'Tabla Homol.Dic.2016-Nov.2017'!$A$1,0)</f>
        <v>152143</v>
      </c>
      <c r="G8" s="153">
        <f>ROUND('Tabla Homol.Dic.2015-Nov.2016'!G8*'Tabla Homol.Dic.2016-Nov.2017'!$A$1,0)</f>
        <v>143519</v>
      </c>
      <c r="H8" s="153">
        <f>ROUND('Tabla Homol.Dic.2015-Nov.2016'!H8*'Tabla Homol.Dic.2016-Nov.2017'!$A$1,0)</f>
        <v>132290</v>
      </c>
      <c r="I8" s="153">
        <f>ROUND('Tabla Homol.Dic.2015-Nov.2016'!I8*'Tabla Homol.Dic.2016-Nov.2017'!$A$1,0)</f>
        <v>122480</v>
      </c>
      <c r="J8" s="153">
        <f>ROUND('Tabla Homol.Dic.2015-Nov.2016'!J8*'Tabla Homol.Dic.2016-Nov.2017'!$A$1,0)</f>
        <v>113396</v>
      </c>
      <c r="K8" s="153">
        <f>ROUND('Tabla Homol.Dic.2015-Nov.2016'!K8*'Tabla Homol.Dic.2016-Nov.2017'!$A$1,0)</f>
        <v>105004</v>
      </c>
      <c r="L8" s="153">
        <f>ROUND('Tabla Homol.Dic.2015-Nov.2016'!L8*'Tabla Homol.Dic.2016-Nov.2017'!$A$1,0)</f>
        <v>97233</v>
      </c>
      <c r="M8" s="153">
        <f>ROUND('Tabla Homol.Dic.2015-Nov.2016'!M8*'Tabla Homol.Dic.2016-Nov.2017'!$A$1,0)</f>
        <v>90031</v>
      </c>
      <c r="N8" s="153">
        <f>ROUND('Tabla Homol.Dic.2015-Nov.2016'!N8*'Tabla Homol.Dic.2016-Nov.2017'!$A$1,0)</f>
        <v>83358</v>
      </c>
      <c r="O8" s="153">
        <f>ROUND('Tabla Homol.Dic.2015-Nov.2016'!O8*'Tabla Homol.Dic.2016-Nov.2017'!$A$1,0)</f>
        <v>77171</v>
      </c>
      <c r="P8" s="153">
        <f>ROUND('Tabla Homol.Dic.2015-Nov.2016'!P8*'Tabla Homol.Dic.2016-Nov.2017'!$A$1,0)</f>
        <v>71460</v>
      </c>
      <c r="Q8" s="153">
        <f>ROUND('Tabla Homol.Dic.2015-Nov.2016'!Q8*'Tabla Homol.Dic.2016-Nov.2017'!$A$1,0)</f>
        <v>66154</v>
      </c>
      <c r="R8" s="153">
        <f>ROUND('Tabla Homol.Dic.2015-Nov.2016'!R8*'Tabla Homol.Dic.2016-Nov.2017'!$A$1,0)</f>
        <v>61255</v>
      </c>
      <c r="S8" s="153">
        <f>ROUND('Tabla Homol.Dic.2015-Nov.2016'!S8*'Tabla Homol.Dic.2016-Nov.2017'!$A$1,0)</f>
        <v>56720</v>
      </c>
      <c r="T8" s="153">
        <f>ROUND('Tabla Homol.Dic.2015-Nov.2016'!T8*'Tabla Homol.Dic.2016-Nov.2017'!$A$1,0)</f>
        <v>53011</v>
      </c>
      <c r="U8" s="153">
        <f>ROUND('Tabla Homol.Dic.2015-Nov.2016'!U8*'Tabla Homol.Dic.2016-Nov.2017'!$A$1,0)</f>
        <v>49544</v>
      </c>
      <c r="X8" s="155"/>
      <c r="Y8" s="155"/>
      <c r="Z8" s="155"/>
      <c r="AI8" s="156"/>
    </row>
    <row r="9" spans="1:35" x14ac:dyDescent="0.2">
      <c r="A9" s="10" t="s">
        <v>4</v>
      </c>
      <c r="B9" s="11">
        <f>ROUND('Tabla Homol.Dic.2015-Nov.2016'!B9*'Tabla Homol.Dic.2016-Nov.2017'!$A$1,0)</f>
        <v>203366</v>
      </c>
      <c r="C9" s="11">
        <f>ROUND('Tabla Homol.Dic.2015-Nov.2016'!C9*'Tabla Homol.Dic.2016-Nov.2017'!$A$1,0)</f>
        <v>208986</v>
      </c>
      <c r="D9" s="11">
        <f>ROUND('Tabla Homol.Dic.2015-Nov.2016'!D9*'Tabla Homol.Dic.2016-Nov.2017'!$A$1,0)</f>
        <v>209758</v>
      </c>
      <c r="E9" s="11">
        <f>ROUND('Tabla Homol.Dic.2015-Nov.2016'!E9*'Tabla Homol.Dic.2016-Nov.2017'!$A$1,0)</f>
        <v>214637</v>
      </c>
      <c r="F9" s="11">
        <f>ROUND('Tabla Homol.Dic.2015-Nov.2016'!F9*'Tabla Homol.Dic.2016-Nov.2017'!$A$1,0)</f>
        <v>219536</v>
      </c>
      <c r="G9" s="11">
        <f>ROUND('Tabla Homol.Dic.2015-Nov.2016'!G9*'Tabla Homol.Dic.2016-Nov.2017'!$A$1,0)</f>
        <v>245390</v>
      </c>
      <c r="H9" s="11">
        <f>ROUND('Tabla Homol.Dic.2015-Nov.2016'!H9*'Tabla Homol.Dic.2016-Nov.2017'!$A$1,0)</f>
        <v>169214</v>
      </c>
      <c r="I9" s="11">
        <f>ROUND('Tabla Homol.Dic.2015-Nov.2016'!I9*'Tabla Homol.Dic.2016-Nov.2017'!$A$1,0)</f>
        <v>129068</v>
      </c>
      <c r="J9" s="11">
        <f>ROUND('Tabla Homol.Dic.2015-Nov.2016'!J9*'Tabla Homol.Dic.2016-Nov.2017'!$A$1,0)</f>
        <v>98402</v>
      </c>
      <c r="K9" s="11">
        <f>ROUND('Tabla Homol.Dic.2015-Nov.2016'!K9*'Tabla Homol.Dic.2016-Nov.2017'!$A$1,0)</f>
        <v>73541</v>
      </c>
      <c r="L9" s="11">
        <f>ROUND('Tabla Homol.Dic.2015-Nov.2016'!L9*'Tabla Homol.Dic.2016-Nov.2017'!$A$1,0)</f>
        <v>54814</v>
      </c>
      <c r="M9" s="11">
        <f>ROUND('Tabla Homol.Dic.2015-Nov.2016'!M9*'Tabla Homol.Dic.2016-Nov.2017'!$A$1,0)</f>
        <v>46358</v>
      </c>
      <c r="N9" s="11">
        <f>ROUND('Tabla Homol.Dic.2015-Nov.2016'!N9*'Tabla Homol.Dic.2016-Nov.2017'!$A$1,0)</f>
        <v>34224</v>
      </c>
      <c r="O9" s="11">
        <f>ROUND('Tabla Homol.Dic.2015-Nov.2016'!O9*'Tabla Homol.Dic.2016-Nov.2017'!$A$1,0)</f>
        <v>25805</v>
      </c>
      <c r="P9" s="11">
        <f>ROUND('Tabla Homol.Dic.2015-Nov.2016'!P9*'Tabla Homol.Dic.2016-Nov.2017'!$A$1,0)</f>
        <v>20013</v>
      </c>
      <c r="Q9" s="11">
        <f>ROUND('Tabla Homol.Dic.2015-Nov.2016'!Q9*'Tabla Homol.Dic.2016-Nov.2017'!$A$1,0)</f>
        <v>19491</v>
      </c>
      <c r="R9" s="11">
        <f>ROUND('Tabla Homol.Dic.2015-Nov.2016'!R9*'Tabla Homol.Dic.2016-Nov.2017'!$A$1,0)</f>
        <v>14046</v>
      </c>
      <c r="S9" s="11">
        <f>ROUND('Tabla Homol.Dic.2015-Nov.2016'!S9*'Tabla Homol.Dic.2016-Nov.2017'!$A$1,0)</f>
        <v>12844</v>
      </c>
      <c r="T9" s="11">
        <f>ROUND('Tabla Homol.Dic.2015-Nov.2016'!T9*'Tabla Homol.Dic.2016-Nov.2017'!$A$1,0)</f>
        <v>13022</v>
      </c>
      <c r="U9" s="11">
        <f>ROUND('Tabla Homol.Dic.2015-Nov.2016'!U9*'Tabla Homol.Dic.2016-Nov.2017'!$A$1,0)</f>
        <v>8790</v>
      </c>
      <c r="X9" s="12"/>
      <c r="Y9" s="12"/>
      <c r="Z9" s="12"/>
    </row>
    <row r="10" spans="1:35" x14ac:dyDescent="0.2">
      <c r="A10" s="10" t="str">
        <f>'[3]EMS 2011 DIC-10 HASTA NOVI-11'!A11</f>
        <v>Asig Unica Ley 18,717</v>
      </c>
      <c r="B10" s="11">
        <f>ROUND('Tabla Homol.Dic.2015-Nov.2016'!B10*'Tabla Homol.Dic.2016-Nov.2017'!$A$1,0)</f>
        <v>18938</v>
      </c>
      <c r="C10" s="11">
        <f>ROUND('Tabla Homol.Dic.2015-Nov.2016'!C10*'Tabla Homol.Dic.2016-Nov.2017'!$A$1,0)</f>
        <v>18938</v>
      </c>
      <c r="D10" s="11">
        <f>ROUND('Tabla Homol.Dic.2015-Nov.2016'!D10*'Tabla Homol.Dic.2016-Nov.2017'!$A$1,0)</f>
        <v>18938</v>
      </c>
      <c r="E10" s="11">
        <f>ROUND('Tabla Homol.Dic.2015-Nov.2016'!E10*'Tabla Homol.Dic.2016-Nov.2017'!$A$1,0)</f>
        <v>18938</v>
      </c>
      <c r="F10" s="11">
        <f>ROUND('Tabla Homol.Dic.2015-Nov.2016'!F10*'Tabla Homol.Dic.2016-Nov.2017'!$A$1,0)</f>
        <v>18938</v>
      </c>
      <c r="G10" s="11">
        <f>ROUND('Tabla Homol.Dic.2015-Nov.2016'!G10*'Tabla Homol.Dic.2016-Nov.2017'!$A$1,0)</f>
        <v>18938</v>
      </c>
      <c r="H10" s="11">
        <f>ROUND('Tabla Homol.Dic.2015-Nov.2016'!H10*'Tabla Homol.Dic.2016-Nov.2017'!$A$1,0)</f>
        <v>18938</v>
      </c>
      <c r="I10" s="11">
        <f>ROUND('Tabla Homol.Dic.2015-Nov.2016'!I10*'Tabla Homol.Dic.2016-Nov.2017'!$A$1,0)</f>
        <v>18938</v>
      </c>
      <c r="J10" s="11">
        <f>ROUND('Tabla Homol.Dic.2015-Nov.2016'!J10*'Tabla Homol.Dic.2016-Nov.2017'!$A$1,0)</f>
        <v>18938</v>
      </c>
      <c r="K10" s="11">
        <f>ROUND('Tabla Homol.Dic.2015-Nov.2016'!K10*'Tabla Homol.Dic.2016-Nov.2017'!$A$1,0)</f>
        <v>18938</v>
      </c>
      <c r="L10" s="11">
        <f>ROUND('Tabla Homol.Dic.2015-Nov.2016'!L10*'Tabla Homol.Dic.2016-Nov.2017'!$A$1,0)</f>
        <v>18938</v>
      </c>
      <c r="M10" s="11">
        <f>ROUND('Tabla Homol.Dic.2015-Nov.2016'!M10*'Tabla Homol.Dic.2016-Nov.2017'!$A$1,0)</f>
        <v>70475</v>
      </c>
      <c r="N10" s="11">
        <f>ROUND('Tabla Homol.Dic.2015-Nov.2016'!N10*'Tabla Homol.Dic.2016-Nov.2017'!$A$1,0)</f>
        <v>68390</v>
      </c>
      <c r="O10" s="11">
        <f>ROUND('Tabla Homol.Dic.2015-Nov.2016'!O10*'Tabla Homol.Dic.2016-Nov.2017'!$A$1,0)</f>
        <v>67844</v>
      </c>
      <c r="P10" s="11">
        <f>ROUND('Tabla Homol.Dic.2015-Nov.2016'!P10*'Tabla Homol.Dic.2016-Nov.2017'!$A$1,0)</f>
        <v>58424</v>
      </c>
      <c r="Q10" s="11">
        <f>ROUND('Tabla Homol.Dic.2015-Nov.2016'!Q10*'Tabla Homol.Dic.2016-Nov.2017'!$A$1,0)</f>
        <v>61554</v>
      </c>
      <c r="R10" s="11">
        <f>ROUND('Tabla Homol.Dic.2015-Nov.2016'!R10*'Tabla Homol.Dic.2016-Nov.2017'!$A$1,0)</f>
        <v>57265</v>
      </c>
      <c r="S10" s="11">
        <f>ROUND('Tabla Homol.Dic.2015-Nov.2016'!S10*'Tabla Homol.Dic.2016-Nov.2017'!$A$1,0)</f>
        <v>57265</v>
      </c>
      <c r="T10" s="11">
        <f>ROUND('Tabla Homol.Dic.2015-Nov.2016'!T10*'Tabla Homol.Dic.2016-Nov.2017'!$A$1,0)</f>
        <v>59688</v>
      </c>
      <c r="U10" s="11">
        <f>ROUND('Tabla Homol.Dic.2015-Nov.2016'!U10*'Tabla Homol.Dic.2016-Nov.2017'!$A$1,0)</f>
        <v>57344</v>
      </c>
      <c r="X10" s="12"/>
      <c r="Y10" s="12"/>
      <c r="Z10" s="12"/>
    </row>
    <row r="11" spans="1:35" x14ac:dyDescent="0.2">
      <c r="A11" s="10" t="str">
        <f>'[3]EMS 2011 DIC-10 HASTA NOVI-11'!A12</f>
        <v>Bonif.Salud Ley 18,566</v>
      </c>
      <c r="B11" s="11">
        <f>ROUND('Tabla Homol.Dic.2015-Nov.2016'!B11*'Tabla Homol.Dic.2016-Nov.2017'!$A$1,0)</f>
        <v>92128</v>
      </c>
      <c r="C11" s="11">
        <f>ROUND('Tabla Homol.Dic.2015-Nov.2016'!C11*'Tabla Homol.Dic.2016-Nov.2017'!$A$1,0)</f>
        <v>95043</v>
      </c>
      <c r="D11" s="11">
        <f>ROUND('Tabla Homol.Dic.2015-Nov.2016'!D11*'Tabla Homol.Dic.2016-Nov.2017'!$A$1,0)</f>
        <v>95425</v>
      </c>
      <c r="E11" s="11">
        <f>ROUND('Tabla Homol.Dic.2015-Nov.2016'!E11*'Tabla Homol.Dic.2016-Nov.2017'!$A$1,0)</f>
        <v>97945</v>
      </c>
      <c r="F11" s="11">
        <f>ROUND('Tabla Homol.Dic.2015-Nov.2016'!F11*'Tabla Homol.Dic.2016-Nov.2017'!$A$1,0)</f>
        <v>100508</v>
      </c>
      <c r="G11" s="11">
        <f>ROUND('Tabla Homol.Dic.2015-Nov.2016'!G11*'Tabla Homol.Dic.2016-Nov.2017'!$A$1,0)</f>
        <v>93513</v>
      </c>
      <c r="H11" s="11">
        <f>ROUND('Tabla Homol.Dic.2015-Nov.2016'!H11*'Tabla Homol.Dic.2016-Nov.2017'!$A$1,0)</f>
        <v>69742</v>
      </c>
      <c r="I11" s="11">
        <f>ROUND('Tabla Homol.Dic.2015-Nov.2016'!I11*'Tabla Homol.Dic.2016-Nov.2017'!$A$1,0)</f>
        <v>53212</v>
      </c>
      <c r="J11" s="11">
        <f>ROUND('Tabla Homol.Dic.2015-Nov.2016'!J11*'Tabla Homol.Dic.2016-Nov.2017'!$A$1,0)</f>
        <v>40562</v>
      </c>
      <c r="K11" s="11">
        <f>ROUND('Tabla Homol.Dic.2015-Nov.2016'!K11*'Tabla Homol.Dic.2016-Nov.2017'!$A$1,0)</f>
        <v>30336</v>
      </c>
      <c r="L11" s="11">
        <f>ROUND('Tabla Homol.Dic.2015-Nov.2016'!L11*'Tabla Homol.Dic.2016-Nov.2017'!$A$1,0)</f>
        <v>22581</v>
      </c>
      <c r="M11" s="11">
        <f>ROUND('Tabla Homol.Dic.2015-Nov.2016'!M11*'Tabla Homol.Dic.2016-Nov.2017'!$A$1,0)</f>
        <v>18037</v>
      </c>
      <c r="N11" s="11">
        <f>ROUND('Tabla Homol.Dic.2015-Nov.2016'!N11*'Tabla Homol.Dic.2016-Nov.2017'!$A$1,0)</f>
        <v>13016</v>
      </c>
      <c r="O11" s="11">
        <f>ROUND('Tabla Homol.Dic.2015-Nov.2016'!O11*'Tabla Homol.Dic.2016-Nov.2017'!$A$1,0)</f>
        <v>9622</v>
      </c>
      <c r="P11" s="11">
        <f>ROUND('Tabla Homol.Dic.2015-Nov.2016'!P11*'Tabla Homol.Dic.2016-Nov.2017'!$A$1,0)</f>
        <v>7529</v>
      </c>
      <c r="Q11" s="11">
        <f>ROUND('Tabla Homol.Dic.2015-Nov.2016'!Q11*'Tabla Homol.Dic.2016-Nov.2017'!$A$1,0)</f>
        <v>7314</v>
      </c>
      <c r="R11" s="11">
        <f>ROUND('Tabla Homol.Dic.2015-Nov.2016'!R11*'Tabla Homol.Dic.2016-Nov.2017'!$A$1,0)</f>
        <v>5245</v>
      </c>
      <c r="S11" s="11">
        <f>ROUND('Tabla Homol.Dic.2015-Nov.2016'!S11*'Tabla Homol.Dic.2016-Nov.2017'!$A$1,0)</f>
        <v>4741</v>
      </c>
      <c r="T11" s="11">
        <f>ROUND('Tabla Homol.Dic.2015-Nov.2016'!T11*'Tabla Homol.Dic.2016-Nov.2017'!$A$1,0)</f>
        <v>4817</v>
      </c>
      <c r="U11" s="11">
        <f>ROUND('Tabla Homol.Dic.2015-Nov.2016'!U11*'Tabla Homol.Dic.2016-Nov.2017'!$A$1,0)</f>
        <v>3137</v>
      </c>
      <c r="X11" s="12"/>
      <c r="Y11" s="12"/>
      <c r="Z11" s="12"/>
    </row>
    <row r="12" spans="1:35" x14ac:dyDescent="0.2">
      <c r="A12" s="10" t="str">
        <f>'[3]EMS 2011 DIC-10 HASTA NOVI-11'!A13</f>
        <v>LEY 19529</v>
      </c>
      <c r="B12" s="11">
        <f>ROUND('Tabla Homol.Dic.2015-Nov.2016'!B12*'Tabla Homol.Dic.2016-Nov.2017'!$A$1,0)</f>
        <v>0</v>
      </c>
      <c r="C12" s="11">
        <f>ROUND('Tabla Homol.Dic.2015-Nov.2016'!C12*'Tabla Homol.Dic.2016-Nov.2017'!$A$1,0)</f>
        <v>0</v>
      </c>
      <c r="D12" s="11">
        <f>ROUND('Tabla Homol.Dic.2015-Nov.2016'!D12*'Tabla Homol.Dic.2016-Nov.2017'!$A$1,0)</f>
        <v>25978</v>
      </c>
      <c r="E12" s="11">
        <f>ROUND('Tabla Homol.Dic.2015-Nov.2016'!E12*'Tabla Homol.Dic.2016-Nov.2017'!$A$1,0)</f>
        <v>25978</v>
      </c>
      <c r="F12" s="11">
        <f>ROUND('Tabla Homol.Dic.2015-Nov.2016'!F12*'Tabla Homol.Dic.2016-Nov.2017'!$A$1,0)</f>
        <v>25978</v>
      </c>
      <c r="G12" s="11">
        <f>ROUND('Tabla Homol.Dic.2015-Nov.2016'!G12*'Tabla Homol.Dic.2016-Nov.2017'!$A$1,0)</f>
        <v>29873</v>
      </c>
      <c r="H12" s="11">
        <f>ROUND('Tabla Homol.Dic.2015-Nov.2016'!H12*'Tabla Homol.Dic.2016-Nov.2017'!$A$1,0)</f>
        <v>29873</v>
      </c>
      <c r="I12" s="11">
        <f>ROUND('Tabla Homol.Dic.2015-Nov.2016'!I12*'Tabla Homol.Dic.2016-Nov.2017'!$A$1,0)</f>
        <v>29873</v>
      </c>
      <c r="J12" s="11">
        <f>ROUND('Tabla Homol.Dic.2015-Nov.2016'!J12*'Tabla Homol.Dic.2016-Nov.2017'!$A$1,0)</f>
        <v>29873</v>
      </c>
      <c r="K12" s="11">
        <f>ROUND('Tabla Homol.Dic.2015-Nov.2016'!K12*'Tabla Homol.Dic.2016-Nov.2017'!$A$1,0)</f>
        <v>29873</v>
      </c>
      <c r="L12" s="11">
        <f>ROUND('Tabla Homol.Dic.2015-Nov.2016'!L12*'Tabla Homol.Dic.2016-Nov.2017'!$A$1,0)</f>
        <v>29873</v>
      </c>
      <c r="M12" s="11">
        <f>ROUND('Tabla Homol.Dic.2015-Nov.2016'!M12*'Tabla Homol.Dic.2016-Nov.2017'!$A$1,0)</f>
        <v>49354</v>
      </c>
      <c r="N12" s="11">
        <f>ROUND('Tabla Homol.Dic.2015-Nov.2016'!N12*'Tabla Homol.Dic.2016-Nov.2017'!$A$1,0)</f>
        <v>49354</v>
      </c>
      <c r="O12" s="11">
        <f>ROUND('Tabla Homol.Dic.2015-Nov.2016'!O12*'Tabla Homol.Dic.2016-Nov.2017'!$A$1,0)</f>
        <v>49354</v>
      </c>
      <c r="P12" s="11">
        <f>ROUND('Tabla Homol.Dic.2015-Nov.2016'!P12*'Tabla Homol.Dic.2016-Nov.2017'!$A$1,0)</f>
        <v>49354</v>
      </c>
      <c r="Q12" s="11">
        <f>ROUND('Tabla Homol.Dic.2015-Nov.2016'!Q12*'Tabla Homol.Dic.2016-Nov.2017'!$A$1,0)</f>
        <v>49354</v>
      </c>
      <c r="R12" s="11">
        <f>ROUND('Tabla Homol.Dic.2015-Nov.2016'!R12*'Tabla Homol.Dic.2016-Nov.2017'!$A$1,0)</f>
        <v>49354</v>
      </c>
      <c r="S12" s="11">
        <f>ROUND('Tabla Homol.Dic.2015-Nov.2016'!S12*'Tabla Homol.Dic.2016-Nov.2017'!$A$1,0)</f>
        <v>49354</v>
      </c>
      <c r="T12" s="11">
        <f>ROUND('Tabla Homol.Dic.2015-Nov.2016'!T12*'Tabla Homol.Dic.2016-Nov.2017'!$A$1,0)</f>
        <v>49354</v>
      </c>
      <c r="U12" s="11">
        <f>ROUND('Tabla Homol.Dic.2015-Nov.2016'!U12*'Tabla Homol.Dic.2016-Nov.2017'!$A$1,0)</f>
        <v>49354</v>
      </c>
      <c r="X12" s="12"/>
      <c r="Y12" s="12"/>
      <c r="Z12" s="12"/>
    </row>
    <row r="13" spans="1:35" s="19" customFormat="1" x14ac:dyDescent="0.2">
      <c r="A13" s="18" t="s">
        <v>5</v>
      </c>
      <c r="B13" s="11">
        <f>ROUND('Tabla Homol.Dic.2015-Nov.2016'!B13*'Tabla Homol.Dic.2016-Nov.2017'!$A$1,0)</f>
        <v>612609</v>
      </c>
      <c r="C13" s="11">
        <f>ROUND('Tabla Homol.Dic.2015-Nov.2016'!C13*'Tabla Homol.Dic.2016-Nov.2017'!$A$1,0)</f>
        <v>0</v>
      </c>
      <c r="D13" s="11">
        <f>ROUND('Tabla Homol.Dic.2015-Nov.2016'!D13*'Tabla Homol.Dic.2016-Nov.2017'!$A$1,0)</f>
        <v>0</v>
      </c>
      <c r="E13" s="11">
        <f>ROUND('Tabla Homol.Dic.2015-Nov.2016'!E13*'Tabla Homol.Dic.2016-Nov.2017'!$A$1,0)</f>
        <v>0</v>
      </c>
      <c r="F13" s="11">
        <f>ROUND('Tabla Homol.Dic.2015-Nov.2016'!F13*'Tabla Homol.Dic.2016-Nov.2017'!$A$1,0)</f>
        <v>0</v>
      </c>
      <c r="G13" s="11">
        <f>ROUND('Tabla Homol.Dic.2015-Nov.2016'!G13*'Tabla Homol.Dic.2016-Nov.2017'!$A$1,0)</f>
        <v>0</v>
      </c>
      <c r="H13" s="11">
        <f>ROUND('Tabla Homol.Dic.2015-Nov.2016'!H13*'Tabla Homol.Dic.2016-Nov.2017'!$A$1,0)</f>
        <v>0</v>
      </c>
      <c r="I13" s="11">
        <f>ROUND('Tabla Homol.Dic.2015-Nov.2016'!I13*'Tabla Homol.Dic.2016-Nov.2017'!$A$1,0)</f>
        <v>0</v>
      </c>
      <c r="J13" s="11">
        <f>ROUND('Tabla Homol.Dic.2015-Nov.2016'!J13*'Tabla Homol.Dic.2016-Nov.2017'!$A$1,0)</f>
        <v>0</v>
      </c>
      <c r="K13" s="11">
        <f>ROUND('Tabla Homol.Dic.2015-Nov.2016'!K13*'Tabla Homol.Dic.2016-Nov.2017'!$A$1,0)</f>
        <v>0</v>
      </c>
      <c r="L13" s="11">
        <f>ROUND('Tabla Homol.Dic.2015-Nov.2016'!L13*'Tabla Homol.Dic.2016-Nov.2017'!$A$1,0)</f>
        <v>0</v>
      </c>
      <c r="M13" s="11">
        <f>ROUND('Tabla Homol.Dic.2015-Nov.2016'!M13*'Tabla Homol.Dic.2016-Nov.2017'!$A$1,0)</f>
        <v>0</v>
      </c>
      <c r="N13" s="11">
        <f>ROUND('Tabla Homol.Dic.2015-Nov.2016'!N13*'Tabla Homol.Dic.2016-Nov.2017'!$A$1,0)</f>
        <v>0</v>
      </c>
      <c r="O13" s="11">
        <f>ROUND('Tabla Homol.Dic.2015-Nov.2016'!O13*'Tabla Homol.Dic.2016-Nov.2017'!$A$1,0)</f>
        <v>0</v>
      </c>
      <c r="P13" s="11">
        <f>ROUND('Tabla Homol.Dic.2015-Nov.2016'!P13*'Tabla Homol.Dic.2016-Nov.2017'!$A$1,0)</f>
        <v>0</v>
      </c>
      <c r="Q13" s="11">
        <f>ROUND('Tabla Homol.Dic.2015-Nov.2016'!Q13*'Tabla Homol.Dic.2016-Nov.2017'!$A$1,0)</f>
        <v>0</v>
      </c>
      <c r="R13" s="11">
        <f>ROUND('Tabla Homol.Dic.2015-Nov.2016'!R13*'Tabla Homol.Dic.2016-Nov.2017'!$A$1,0)</f>
        <v>0</v>
      </c>
      <c r="S13" s="11">
        <f>ROUND('Tabla Homol.Dic.2015-Nov.2016'!S13*'Tabla Homol.Dic.2016-Nov.2017'!$A$1,0)</f>
        <v>0</v>
      </c>
      <c r="T13" s="11">
        <f>ROUND('Tabla Homol.Dic.2015-Nov.2016'!T13*'Tabla Homol.Dic.2016-Nov.2017'!$A$1,0)</f>
        <v>0</v>
      </c>
      <c r="U13" s="11">
        <f>ROUND('Tabla Homol.Dic.2015-Nov.2016'!U13*'Tabla Homol.Dic.2016-Nov.2017'!$A$1,0)</f>
        <v>0</v>
      </c>
      <c r="X13" s="20"/>
      <c r="Y13" s="20"/>
      <c r="Z13" s="12"/>
      <c r="AI13" s="21"/>
    </row>
    <row r="14" spans="1:35" s="19" customFormat="1" x14ac:dyDescent="0.2">
      <c r="A14" s="10" t="s">
        <v>6</v>
      </c>
      <c r="B14" s="11">
        <f>ROUND('Tabla Homol.Dic.2015-Nov.2016'!B14*'Tabla Homol.Dic.2016-Nov.2017'!$A$1,0)</f>
        <v>2275312</v>
      </c>
      <c r="C14" s="11">
        <f>ROUND('Tabla Homol.Dic.2015-Nov.2016'!C14*'Tabla Homol.Dic.2016-Nov.2017'!$A$1,0)</f>
        <v>0</v>
      </c>
      <c r="D14" s="11">
        <f>ROUND('Tabla Homol.Dic.2015-Nov.2016'!D14*'Tabla Homol.Dic.2016-Nov.2017'!$A$1,0)</f>
        <v>0</v>
      </c>
      <c r="E14" s="11">
        <f>ROUND('Tabla Homol.Dic.2015-Nov.2016'!E14*'Tabla Homol.Dic.2016-Nov.2017'!$A$1,0)</f>
        <v>0</v>
      </c>
      <c r="F14" s="11">
        <f>ROUND('Tabla Homol.Dic.2015-Nov.2016'!F14*'Tabla Homol.Dic.2016-Nov.2017'!$A$1,0)</f>
        <v>0</v>
      </c>
      <c r="G14" s="11">
        <f>ROUND('Tabla Homol.Dic.2015-Nov.2016'!G14*'Tabla Homol.Dic.2016-Nov.2017'!$A$1,0)</f>
        <v>0</v>
      </c>
      <c r="H14" s="11">
        <f>ROUND('Tabla Homol.Dic.2015-Nov.2016'!H14*'Tabla Homol.Dic.2016-Nov.2017'!$A$1,0)</f>
        <v>0</v>
      </c>
      <c r="I14" s="11">
        <f>ROUND('Tabla Homol.Dic.2015-Nov.2016'!I14*'Tabla Homol.Dic.2016-Nov.2017'!$A$1,0)</f>
        <v>0</v>
      </c>
      <c r="J14" s="11">
        <f>ROUND('Tabla Homol.Dic.2015-Nov.2016'!J14*'Tabla Homol.Dic.2016-Nov.2017'!$A$1,0)</f>
        <v>0</v>
      </c>
      <c r="K14" s="11">
        <f>ROUND('Tabla Homol.Dic.2015-Nov.2016'!K14*'Tabla Homol.Dic.2016-Nov.2017'!$A$1,0)</f>
        <v>0</v>
      </c>
      <c r="L14" s="11">
        <f>ROUND('Tabla Homol.Dic.2015-Nov.2016'!L14*'Tabla Homol.Dic.2016-Nov.2017'!$A$1,0)</f>
        <v>0</v>
      </c>
      <c r="M14" s="11">
        <f>ROUND('Tabla Homol.Dic.2015-Nov.2016'!M14*'Tabla Homol.Dic.2016-Nov.2017'!$A$1,0)</f>
        <v>0</v>
      </c>
      <c r="N14" s="11">
        <f>ROUND('Tabla Homol.Dic.2015-Nov.2016'!N14*'Tabla Homol.Dic.2016-Nov.2017'!$A$1,0)</f>
        <v>0</v>
      </c>
      <c r="O14" s="11">
        <f>ROUND('Tabla Homol.Dic.2015-Nov.2016'!O14*'Tabla Homol.Dic.2016-Nov.2017'!$A$1,0)</f>
        <v>0</v>
      </c>
      <c r="P14" s="11">
        <f>ROUND('Tabla Homol.Dic.2015-Nov.2016'!P14*'Tabla Homol.Dic.2016-Nov.2017'!$A$1,0)</f>
        <v>0</v>
      </c>
      <c r="Q14" s="11">
        <f>ROUND('Tabla Homol.Dic.2015-Nov.2016'!Q14*'Tabla Homol.Dic.2016-Nov.2017'!$A$1,0)</f>
        <v>0</v>
      </c>
      <c r="R14" s="11">
        <f>ROUND('Tabla Homol.Dic.2015-Nov.2016'!R14*'Tabla Homol.Dic.2016-Nov.2017'!$A$1,0)</f>
        <v>0</v>
      </c>
      <c r="S14" s="11">
        <f>ROUND('Tabla Homol.Dic.2015-Nov.2016'!S14*'Tabla Homol.Dic.2016-Nov.2017'!$A$1,0)</f>
        <v>0</v>
      </c>
      <c r="T14" s="11">
        <f>ROUND('Tabla Homol.Dic.2015-Nov.2016'!T14*'Tabla Homol.Dic.2016-Nov.2017'!$A$1,0)</f>
        <v>0</v>
      </c>
      <c r="U14" s="11">
        <f>ROUND('Tabla Homol.Dic.2015-Nov.2016'!U14*'Tabla Homol.Dic.2016-Nov.2017'!$A$1,0)</f>
        <v>0</v>
      </c>
      <c r="X14" s="20"/>
      <c r="Z14" s="12"/>
      <c r="AI14" s="21"/>
    </row>
    <row r="15" spans="1:35" s="22" customFormat="1" x14ac:dyDescent="0.2">
      <c r="A15" s="18" t="s">
        <v>7</v>
      </c>
      <c r="B15" s="11">
        <f>ROUND('Tabla Homol.Dic.2015-Nov.2016'!B15*'Tabla Homol.Dic.2016-Nov.2017'!$A$1,0)</f>
        <v>0</v>
      </c>
      <c r="C15" s="11">
        <f>ROUND('Tabla Homol.Dic.2015-Nov.2016'!C15*'Tabla Homol.Dic.2016-Nov.2017'!$A$1,0)</f>
        <v>0</v>
      </c>
      <c r="D15" s="11">
        <f>ROUND('Tabla Homol.Dic.2015-Nov.2016'!D15*'Tabla Homol.Dic.2016-Nov.2017'!$A$1,0)</f>
        <v>721648</v>
      </c>
      <c r="E15" s="11">
        <f>ROUND('Tabla Homol.Dic.2015-Nov.2016'!E15*'Tabla Homol.Dic.2016-Nov.2017'!$A$1,0)</f>
        <v>0</v>
      </c>
      <c r="F15" s="11">
        <f>ROUND('Tabla Homol.Dic.2015-Nov.2016'!F15*'Tabla Homol.Dic.2016-Nov.2017'!$A$1,0)</f>
        <v>0</v>
      </c>
      <c r="G15" s="11">
        <f>ROUND('Tabla Homol.Dic.2015-Nov.2016'!G15*'Tabla Homol.Dic.2016-Nov.2017'!$A$1,0)</f>
        <v>0</v>
      </c>
      <c r="H15" s="11">
        <f>ROUND('Tabla Homol.Dic.2015-Nov.2016'!H15*'Tabla Homol.Dic.2016-Nov.2017'!$A$1,0)</f>
        <v>0</v>
      </c>
      <c r="I15" s="11">
        <f>ROUND('Tabla Homol.Dic.2015-Nov.2016'!I15*'Tabla Homol.Dic.2016-Nov.2017'!$A$1,0)</f>
        <v>0</v>
      </c>
      <c r="J15" s="11">
        <f>ROUND('Tabla Homol.Dic.2015-Nov.2016'!J15*'Tabla Homol.Dic.2016-Nov.2017'!$A$1,0)</f>
        <v>0</v>
      </c>
      <c r="K15" s="11">
        <f>ROUND('Tabla Homol.Dic.2015-Nov.2016'!K15*'Tabla Homol.Dic.2016-Nov.2017'!$A$1,0)</f>
        <v>0</v>
      </c>
      <c r="L15" s="11">
        <f>ROUND('Tabla Homol.Dic.2015-Nov.2016'!L15*'Tabla Homol.Dic.2016-Nov.2017'!$A$1,0)</f>
        <v>0</v>
      </c>
      <c r="M15" s="11">
        <f>ROUND('Tabla Homol.Dic.2015-Nov.2016'!M15*'Tabla Homol.Dic.2016-Nov.2017'!$A$1,0)</f>
        <v>0</v>
      </c>
      <c r="N15" s="11">
        <f>ROUND('Tabla Homol.Dic.2015-Nov.2016'!N15*'Tabla Homol.Dic.2016-Nov.2017'!$A$1,0)</f>
        <v>0</v>
      </c>
      <c r="O15" s="11">
        <f>ROUND('Tabla Homol.Dic.2015-Nov.2016'!O15*'Tabla Homol.Dic.2016-Nov.2017'!$A$1,0)</f>
        <v>0</v>
      </c>
      <c r="P15" s="11">
        <f>ROUND('Tabla Homol.Dic.2015-Nov.2016'!P15*'Tabla Homol.Dic.2016-Nov.2017'!$A$1,0)</f>
        <v>0</v>
      </c>
      <c r="Q15" s="11">
        <f>ROUND('Tabla Homol.Dic.2015-Nov.2016'!Q15*'Tabla Homol.Dic.2016-Nov.2017'!$A$1,0)</f>
        <v>0</v>
      </c>
      <c r="R15" s="11">
        <f>ROUND('Tabla Homol.Dic.2015-Nov.2016'!R15*'Tabla Homol.Dic.2016-Nov.2017'!$A$1,0)</f>
        <v>0</v>
      </c>
      <c r="S15" s="11">
        <f>ROUND('Tabla Homol.Dic.2015-Nov.2016'!S15*'Tabla Homol.Dic.2016-Nov.2017'!$A$1,0)</f>
        <v>0</v>
      </c>
      <c r="T15" s="11">
        <f>ROUND('Tabla Homol.Dic.2015-Nov.2016'!T15*'Tabla Homol.Dic.2016-Nov.2017'!$A$1,0)</f>
        <v>0</v>
      </c>
      <c r="U15" s="11">
        <f>ROUND('Tabla Homol.Dic.2015-Nov.2016'!U15*'Tabla Homol.Dic.2016-Nov.2017'!$A$1,0)</f>
        <v>0</v>
      </c>
      <c r="X15" s="23"/>
      <c r="AI15" s="24"/>
    </row>
    <row r="16" spans="1:35" s="22" customFormat="1" x14ac:dyDescent="0.2">
      <c r="A16" s="18" t="s">
        <v>8</v>
      </c>
      <c r="B16" s="11">
        <f>ROUND('Tabla Homol.Dic.2015-Nov.2016'!B16*'Tabla Homol.Dic.2016-Nov.2017'!$A$1,0)</f>
        <v>0</v>
      </c>
      <c r="C16" s="11">
        <f>ROUND('Tabla Homol.Dic.2015-Nov.2016'!C16*'Tabla Homol.Dic.2016-Nov.2017'!$A$1,0)</f>
        <v>0</v>
      </c>
      <c r="D16" s="11">
        <f>ROUND('Tabla Homol.Dic.2015-Nov.2016'!D16*'Tabla Homol.Dic.2016-Nov.2017'!$A$1,0)</f>
        <v>481098</v>
      </c>
      <c r="E16" s="11">
        <f>ROUND('Tabla Homol.Dic.2015-Nov.2016'!E16*'Tabla Homol.Dic.2016-Nov.2017'!$A$1,0)</f>
        <v>0</v>
      </c>
      <c r="F16" s="11">
        <f>ROUND('Tabla Homol.Dic.2015-Nov.2016'!F16*'Tabla Homol.Dic.2016-Nov.2017'!$A$1,0)</f>
        <v>0</v>
      </c>
      <c r="G16" s="11">
        <f>ROUND('Tabla Homol.Dic.2015-Nov.2016'!G16*'Tabla Homol.Dic.2016-Nov.2017'!$A$1,0)</f>
        <v>0</v>
      </c>
      <c r="H16" s="11">
        <f>ROUND('Tabla Homol.Dic.2015-Nov.2016'!H16*'Tabla Homol.Dic.2016-Nov.2017'!$A$1,0)</f>
        <v>0</v>
      </c>
      <c r="I16" s="11">
        <f>ROUND('Tabla Homol.Dic.2015-Nov.2016'!I16*'Tabla Homol.Dic.2016-Nov.2017'!$A$1,0)</f>
        <v>0</v>
      </c>
      <c r="J16" s="11">
        <f>ROUND('Tabla Homol.Dic.2015-Nov.2016'!J16*'Tabla Homol.Dic.2016-Nov.2017'!$A$1,0)</f>
        <v>0</v>
      </c>
      <c r="K16" s="11">
        <f>ROUND('Tabla Homol.Dic.2015-Nov.2016'!K16*'Tabla Homol.Dic.2016-Nov.2017'!$A$1,0)</f>
        <v>0</v>
      </c>
      <c r="L16" s="11">
        <f>ROUND('Tabla Homol.Dic.2015-Nov.2016'!L16*'Tabla Homol.Dic.2016-Nov.2017'!$A$1,0)</f>
        <v>0</v>
      </c>
      <c r="M16" s="11">
        <f>ROUND('Tabla Homol.Dic.2015-Nov.2016'!M16*'Tabla Homol.Dic.2016-Nov.2017'!$A$1,0)</f>
        <v>0</v>
      </c>
      <c r="N16" s="11">
        <f>ROUND('Tabla Homol.Dic.2015-Nov.2016'!N16*'Tabla Homol.Dic.2016-Nov.2017'!$A$1,0)</f>
        <v>0</v>
      </c>
      <c r="O16" s="11">
        <f>ROUND('Tabla Homol.Dic.2015-Nov.2016'!O16*'Tabla Homol.Dic.2016-Nov.2017'!$A$1,0)</f>
        <v>0</v>
      </c>
      <c r="P16" s="11">
        <f>ROUND('Tabla Homol.Dic.2015-Nov.2016'!P16*'Tabla Homol.Dic.2016-Nov.2017'!$A$1,0)</f>
        <v>0</v>
      </c>
      <c r="Q16" s="11">
        <f>ROUND('Tabla Homol.Dic.2015-Nov.2016'!Q16*'Tabla Homol.Dic.2016-Nov.2017'!$A$1,0)</f>
        <v>0</v>
      </c>
      <c r="R16" s="11">
        <f>ROUND('Tabla Homol.Dic.2015-Nov.2016'!R16*'Tabla Homol.Dic.2016-Nov.2017'!$A$1,0)</f>
        <v>0</v>
      </c>
      <c r="S16" s="11">
        <f>ROUND('Tabla Homol.Dic.2015-Nov.2016'!S16*'Tabla Homol.Dic.2016-Nov.2017'!$A$1,0)</f>
        <v>0</v>
      </c>
      <c r="T16" s="11">
        <f>ROUND('Tabla Homol.Dic.2015-Nov.2016'!T16*'Tabla Homol.Dic.2016-Nov.2017'!$A$1,0)</f>
        <v>0</v>
      </c>
      <c r="U16" s="11">
        <f>ROUND('Tabla Homol.Dic.2015-Nov.2016'!U16*'Tabla Homol.Dic.2016-Nov.2017'!$A$1,0)</f>
        <v>0</v>
      </c>
      <c r="AI16" s="24"/>
    </row>
    <row r="17" spans="1:36" s="189" customFormat="1" x14ac:dyDescent="0.2">
      <c r="A17" s="187" t="s">
        <v>39</v>
      </c>
      <c r="B17" s="186"/>
      <c r="C17" s="186"/>
      <c r="D17" s="186">
        <v>488395</v>
      </c>
      <c r="E17" s="186">
        <v>460755</v>
      </c>
      <c r="F17" s="186">
        <v>459262</v>
      </c>
      <c r="G17" s="186">
        <f>VLOOKUP(G3,$G$96:$H$106,2,0)</f>
        <v>410052</v>
      </c>
      <c r="H17" s="186">
        <f t="shared" ref="H17:L17" si="0">VLOOKUP(H3,$G$96:$H$106,2,0)</f>
        <v>374159</v>
      </c>
      <c r="I17" s="186">
        <f t="shared" si="0"/>
        <v>335578</v>
      </c>
      <c r="J17" s="186">
        <f t="shared" si="0"/>
        <v>303683</v>
      </c>
      <c r="K17" s="186">
        <f t="shared" si="0"/>
        <v>274823</v>
      </c>
      <c r="L17" s="186">
        <f t="shared" si="0"/>
        <v>248712</v>
      </c>
      <c r="M17" s="186">
        <v>225077</v>
      </c>
      <c r="N17" s="186"/>
      <c r="O17" s="186"/>
      <c r="P17" s="186"/>
      <c r="Q17" s="186"/>
      <c r="R17" s="186"/>
      <c r="S17" s="186"/>
      <c r="T17" s="186"/>
      <c r="U17" s="186"/>
      <c r="AI17" s="190"/>
    </row>
    <row r="18" spans="1:36" s="147" customFormat="1" ht="12" x14ac:dyDescent="0.2">
      <c r="A18" s="145" t="s">
        <v>9</v>
      </c>
      <c r="B18" s="146">
        <f>SUM(B5:B17)</f>
        <v>6393515</v>
      </c>
      <c r="C18" s="146">
        <f t="shared" ref="C18:U18" si="1">SUM(C5:C17)</f>
        <v>3364195</v>
      </c>
      <c r="D18" s="146">
        <f t="shared" si="1"/>
        <v>4748923</v>
      </c>
      <c r="E18" s="146">
        <f t="shared" si="1"/>
        <v>3420840</v>
      </c>
      <c r="F18" s="146">
        <f t="shared" si="1"/>
        <v>3133372</v>
      </c>
      <c r="G18" s="146">
        <f t="shared" si="1"/>
        <v>2828983</v>
      </c>
      <c r="H18" s="146">
        <f t="shared" si="1"/>
        <v>2316860</v>
      </c>
      <c r="I18" s="146">
        <f t="shared" si="1"/>
        <v>1948953</v>
      </c>
      <c r="J18" s="146">
        <f t="shared" si="1"/>
        <v>1656545</v>
      </c>
      <c r="K18" s="146">
        <f t="shared" si="1"/>
        <v>1411178</v>
      </c>
      <c r="L18" s="146">
        <f t="shared" si="1"/>
        <v>1213710</v>
      </c>
      <c r="M18" s="146">
        <f t="shared" si="1"/>
        <v>1125935</v>
      </c>
      <c r="N18" s="146">
        <f t="shared" si="1"/>
        <v>785628</v>
      </c>
      <c r="O18" s="146">
        <f t="shared" si="1"/>
        <v>697283</v>
      </c>
      <c r="P18" s="146">
        <f t="shared" si="1"/>
        <v>623387</v>
      </c>
      <c r="Q18" s="146">
        <f t="shared" si="1"/>
        <v>595546</v>
      </c>
      <c r="R18" s="146">
        <f t="shared" si="1"/>
        <v>533858</v>
      </c>
      <c r="S18" s="146">
        <f t="shared" si="1"/>
        <v>505381</v>
      </c>
      <c r="T18" s="146">
        <f t="shared" si="1"/>
        <v>492755</v>
      </c>
      <c r="U18" s="146">
        <f t="shared" si="1"/>
        <v>447992</v>
      </c>
      <c r="Z18" s="148"/>
      <c r="AI18" s="149"/>
    </row>
    <row r="19" spans="1:36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N19" s="5">
        <f>+M18-N18</f>
        <v>340307</v>
      </c>
      <c r="O19" s="5">
        <f>+N18-O18</f>
        <v>88345</v>
      </c>
      <c r="P19" s="5">
        <f>+O18-P18</f>
        <v>73896</v>
      </c>
      <c r="Q19" s="5">
        <f>+P18-Q18</f>
        <v>27841</v>
      </c>
      <c r="R19" s="5">
        <f>+Q18-R18</f>
        <v>61688</v>
      </c>
      <c r="S19" s="5"/>
      <c r="T19" s="5"/>
      <c r="U19" s="5"/>
      <c r="W19" s="6"/>
    </row>
    <row r="20" spans="1:36" x14ac:dyDescent="0.2">
      <c r="A20" s="19" t="s">
        <v>10</v>
      </c>
      <c r="B20" s="30">
        <v>0</v>
      </c>
      <c r="C20" s="30">
        <v>0</v>
      </c>
      <c r="D20" s="30">
        <v>3323</v>
      </c>
      <c r="E20" s="30">
        <v>2706</v>
      </c>
      <c r="F20" s="30">
        <v>2400</v>
      </c>
      <c r="G20" s="30">
        <v>8610</v>
      </c>
      <c r="H20" s="30">
        <v>7572</v>
      </c>
      <c r="I20" s="30">
        <v>11551</v>
      </c>
      <c r="J20" s="30">
        <v>11924</v>
      </c>
      <c r="K20" s="30">
        <v>10629</v>
      </c>
      <c r="L20" s="30">
        <v>9855</v>
      </c>
      <c r="M20" s="31">
        <v>9113</v>
      </c>
      <c r="N20" s="30">
        <v>8436</v>
      </c>
      <c r="O20" s="30">
        <v>7799</v>
      </c>
      <c r="P20" s="30">
        <v>7201</v>
      </c>
      <c r="Q20" s="30">
        <v>6797</v>
      </c>
      <c r="R20" s="30">
        <v>6243</v>
      </c>
      <c r="S20" s="30">
        <v>5785</v>
      </c>
      <c r="T20" s="30">
        <v>5485</v>
      </c>
      <c r="U20" s="30">
        <v>5138</v>
      </c>
    </row>
    <row r="21" spans="1:36" x14ac:dyDescent="0.2">
      <c r="A21" s="32">
        <v>1.05</v>
      </c>
      <c r="B21" s="30">
        <v>0</v>
      </c>
      <c r="C21" s="30">
        <v>0</v>
      </c>
      <c r="D21" s="30">
        <f>ROUND(D20*$A$21,0)</f>
        <v>3489</v>
      </c>
      <c r="E21" s="30">
        <f t="shared" ref="E21:U21" si="2">ROUND(E20*$A$21,0)</f>
        <v>2841</v>
      </c>
      <c r="F21" s="30">
        <f t="shared" si="2"/>
        <v>2520</v>
      </c>
      <c r="G21" s="30">
        <f t="shared" si="2"/>
        <v>9041</v>
      </c>
      <c r="H21" s="30">
        <f t="shared" si="2"/>
        <v>7951</v>
      </c>
      <c r="I21" s="30">
        <f t="shared" si="2"/>
        <v>12129</v>
      </c>
      <c r="J21" s="30">
        <f t="shared" si="2"/>
        <v>12520</v>
      </c>
      <c r="K21" s="30">
        <f t="shared" si="2"/>
        <v>11160</v>
      </c>
      <c r="L21" s="30">
        <f t="shared" si="2"/>
        <v>10348</v>
      </c>
      <c r="M21" s="30">
        <f t="shared" si="2"/>
        <v>9569</v>
      </c>
      <c r="N21" s="30">
        <f t="shared" si="2"/>
        <v>8858</v>
      </c>
      <c r="O21" s="30">
        <f t="shared" si="2"/>
        <v>8189</v>
      </c>
      <c r="P21" s="30">
        <f t="shared" si="2"/>
        <v>7561</v>
      </c>
      <c r="Q21" s="30">
        <f t="shared" si="2"/>
        <v>7137</v>
      </c>
      <c r="R21" s="30">
        <f t="shared" si="2"/>
        <v>6555</v>
      </c>
      <c r="S21" s="30">
        <f t="shared" si="2"/>
        <v>6074</v>
      </c>
      <c r="T21" s="30">
        <f t="shared" si="2"/>
        <v>5759</v>
      </c>
      <c r="U21" s="30">
        <f t="shared" si="2"/>
        <v>5395</v>
      </c>
    </row>
    <row r="22" spans="1:36" ht="12" thickBot="1" x14ac:dyDescent="0.25">
      <c r="A22" s="33">
        <v>1.05</v>
      </c>
      <c r="B22" s="30">
        <v>0</v>
      </c>
      <c r="C22" s="30">
        <v>0</v>
      </c>
      <c r="D22" s="30">
        <f>ROUND(D21*$A$22,0)</f>
        <v>3663</v>
      </c>
      <c r="E22" s="30">
        <f t="shared" ref="E22:U22" si="3">ROUND(E21*$A$22,0)</f>
        <v>2983</v>
      </c>
      <c r="F22" s="30">
        <f t="shared" si="3"/>
        <v>2646</v>
      </c>
      <c r="G22" s="30">
        <f t="shared" si="3"/>
        <v>9493</v>
      </c>
      <c r="H22" s="30">
        <f t="shared" si="3"/>
        <v>8349</v>
      </c>
      <c r="I22" s="30">
        <f t="shared" si="3"/>
        <v>12735</v>
      </c>
      <c r="J22" s="30">
        <f t="shared" si="3"/>
        <v>13146</v>
      </c>
      <c r="K22" s="30">
        <f t="shared" si="3"/>
        <v>11718</v>
      </c>
      <c r="L22" s="30">
        <f t="shared" si="3"/>
        <v>10865</v>
      </c>
      <c r="M22" s="30">
        <f t="shared" si="3"/>
        <v>10047</v>
      </c>
      <c r="N22" s="30">
        <f t="shared" si="3"/>
        <v>9301</v>
      </c>
      <c r="O22" s="30">
        <f t="shared" si="3"/>
        <v>8598</v>
      </c>
      <c r="P22" s="30">
        <f t="shared" si="3"/>
        <v>7939</v>
      </c>
      <c r="Q22" s="30">
        <f t="shared" si="3"/>
        <v>7494</v>
      </c>
      <c r="R22" s="30">
        <f t="shared" si="3"/>
        <v>6883</v>
      </c>
      <c r="S22" s="30">
        <f t="shared" si="3"/>
        <v>6378</v>
      </c>
      <c r="T22" s="30">
        <f t="shared" si="3"/>
        <v>6047</v>
      </c>
      <c r="U22" s="30">
        <f t="shared" si="3"/>
        <v>5665</v>
      </c>
    </row>
    <row r="23" spans="1:36" s="36" customFormat="1" ht="12" thickBot="1" x14ac:dyDescent="0.25">
      <c r="A23" s="34">
        <v>1.06</v>
      </c>
      <c r="B23" s="35">
        <v>0</v>
      </c>
      <c r="C23" s="35">
        <v>0</v>
      </c>
      <c r="D23" s="35">
        <f>ROUND(D22*$A$23,0)</f>
        <v>3883</v>
      </c>
      <c r="E23" s="35">
        <f t="shared" ref="E23:U23" si="4">ROUND(E22*$A$23,0)</f>
        <v>3162</v>
      </c>
      <c r="F23" s="35">
        <f>ROUND(F22*$A$23,0)</f>
        <v>2805</v>
      </c>
      <c r="G23" s="35">
        <f t="shared" si="4"/>
        <v>10063</v>
      </c>
      <c r="H23" s="35">
        <f t="shared" si="4"/>
        <v>8850</v>
      </c>
      <c r="I23" s="35">
        <f t="shared" si="4"/>
        <v>13499</v>
      </c>
      <c r="J23" s="35">
        <f t="shared" si="4"/>
        <v>13935</v>
      </c>
      <c r="K23" s="35">
        <f t="shared" si="4"/>
        <v>12421</v>
      </c>
      <c r="L23" s="35">
        <f t="shared" si="4"/>
        <v>11517</v>
      </c>
      <c r="M23" s="35">
        <f t="shared" si="4"/>
        <v>10650</v>
      </c>
      <c r="N23" s="35">
        <f t="shared" si="4"/>
        <v>9859</v>
      </c>
      <c r="O23" s="35">
        <f t="shared" si="4"/>
        <v>9114</v>
      </c>
      <c r="P23" s="35">
        <f t="shared" si="4"/>
        <v>8415</v>
      </c>
      <c r="Q23" s="35">
        <f t="shared" si="4"/>
        <v>7944</v>
      </c>
      <c r="R23" s="35">
        <f t="shared" si="4"/>
        <v>7296</v>
      </c>
      <c r="S23" s="35">
        <f t="shared" si="4"/>
        <v>6761</v>
      </c>
      <c r="T23" s="35">
        <f t="shared" si="4"/>
        <v>6410</v>
      </c>
      <c r="U23" s="35">
        <f t="shared" si="4"/>
        <v>6005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7"/>
      <c r="AJ23" s="30"/>
    </row>
    <row r="25" spans="1:36" s="40" customFormat="1" x14ac:dyDescent="0.2">
      <c r="A25" s="38" t="s">
        <v>11</v>
      </c>
      <c r="B25" s="39">
        <f t="shared" ref="B25:U25" si="5">B5*0.035</f>
        <v>21441.315000000002</v>
      </c>
      <c r="C25" s="39">
        <f t="shared" si="5"/>
        <v>20237.140000000003</v>
      </c>
      <c r="D25" s="39">
        <f t="shared" si="5"/>
        <v>21367.115000000002</v>
      </c>
      <c r="E25" s="39">
        <f t="shared" si="5"/>
        <v>20158.18</v>
      </c>
      <c r="F25" s="39">
        <f t="shared" si="5"/>
        <v>19017.88</v>
      </c>
      <c r="G25" s="39">
        <f t="shared" si="5"/>
        <v>17939.985000000001</v>
      </c>
      <c r="H25" s="39">
        <f t="shared" si="5"/>
        <v>16536.240000000002</v>
      </c>
      <c r="I25" s="39">
        <f t="shared" si="5"/>
        <v>15310.015000000001</v>
      </c>
      <c r="J25" s="39">
        <f t="shared" si="5"/>
        <v>14174.545000000002</v>
      </c>
      <c r="K25" s="39">
        <f t="shared" si="5"/>
        <v>13125.525000000001</v>
      </c>
      <c r="L25" s="39">
        <f t="shared" si="5"/>
        <v>12154.1</v>
      </c>
      <c r="M25" s="39">
        <f t="shared" si="5"/>
        <v>11253.795000000002</v>
      </c>
      <c r="N25" s="39">
        <f t="shared" si="5"/>
        <v>10419.780000000001</v>
      </c>
      <c r="O25" s="39">
        <f t="shared" si="5"/>
        <v>9646.35</v>
      </c>
      <c r="P25" s="39">
        <f t="shared" si="5"/>
        <v>8932.4550000000017</v>
      </c>
      <c r="Q25" s="39">
        <f t="shared" si="5"/>
        <v>8269.2049999999999</v>
      </c>
      <c r="R25" s="39">
        <f t="shared" si="5"/>
        <v>7656.9500000000007</v>
      </c>
      <c r="S25" s="39">
        <f t="shared" si="5"/>
        <v>7089.9500000000007</v>
      </c>
      <c r="T25" s="39">
        <f t="shared" si="5"/>
        <v>6626.27</v>
      </c>
      <c r="U25" s="39">
        <f t="shared" si="5"/>
        <v>6193.0750000000007</v>
      </c>
      <c r="AI25" s="41"/>
    </row>
    <row r="26" spans="1:36" x14ac:dyDescent="0.2">
      <c r="B26" s="42">
        <v>0.215</v>
      </c>
      <c r="C26" s="42">
        <v>0.215</v>
      </c>
      <c r="D26" s="42">
        <v>0.215</v>
      </c>
      <c r="E26" s="42">
        <v>0.215</v>
      </c>
      <c r="F26" s="42">
        <v>0.215</v>
      </c>
      <c r="G26" s="42">
        <v>0.215</v>
      </c>
      <c r="H26" s="42">
        <v>0.215</v>
      </c>
      <c r="I26" s="42">
        <v>0.215</v>
      </c>
      <c r="J26" s="42">
        <v>0.215</v>
      </c>
      <c r="K26" s="43">
        <v>0.215</v>
      </c>
      <c r="L26" s="42">
        <v>0.215</v>
      </c>
      <c r="M26" s="43">
        <v>0.215</v>
      </c>
      <c r="N26" s="43">
        <v>0.215</v>
      </c>
      <c r="O26" s="43">
        <v>0.215</v>
      </c>
      <c r="P26" s="43">
        <v>0.215</v>
      </c>
      <c r="Q26" s="43">
        <v>0.215</v>
      </c>
      <c r="R26" s="43">
        <v>0.215</v>
      </c>
      <c r="S26" s="43">
        <v>0.215</v>
      </c>
      <c r="T26" s="43">
        <v>0.2</v>
      </c>
      <c r="U26" s="43">
        <v>0.2</v>
      </c>
    </row>
    <row r="27" spans="1:36" x14ac:dyDescent="0.2">
      <c r="B27" s="5"/>
      <c r="C27" s="5"/>
      <c r="D27" s="5"/>
      <c r="E27" s="5"/>
      <c r="F27" s="5"/>
      <c r="G27" s="5">
        <f>+G19/30*13</f>
        <v>0</v>
      </c>
      <c r="H27" s="5"/>
      <c r="I27" s="5"/>
      <c r="J27" s="5"/>
      <c r="O27" s="12"/>
      <c r="P27" s="12"/>
    </row>
    <row r="28" spans="1:36" s="44" customFormat="1" x14ac:dyDescent="0.2">
      <c r="B28" s="45">
        <f>+'[2]Tabla Homol.Dic.2014'!B17</f>
        <v>5951266</v>
      </c>
      <c r="C28" s="45">
        <f>+'[2]Tabla Homol.Dic.2014'!C17</f>
        <v>3131488</v>
      </c>
      <c r="D28" s="45">
        <f>+'[2]Tabla Homol.Dic.2014'!D17</f>
        <v>2840466</v>
      </c>
      <c r="E28" s="45">
        <f>+'[2]Tabla Homol.Dic.2014'!E17</f>
        <v>2750605</v>
      </c>
      <c r="F28" s="45">
        <f>+'[2]Tabla Homol.Dic.2014'!F17</f>
        <v>2484946</v>
      </c>
      <c r="G28" s="45">
        <f>+'[2]Tabla Homol.Dic.2014'!G17</f>
        <v>2236565</v>
      </c>
      <c r="H28" s="45">
        <f>+'[2]Tabla Homol.Dic.2014'!H17</f>
        <v>1795090</v>
      </c>
      <c r="I28" s="45">
        <f>+'[2]Tabla Homol.Dic.2014'!I17</f>
        <v>1481595</v>
      </c>
      <c r="J28" s="45">
        <f>+'[2]Tabla Homol.Dic.2014'!J17</f>
        <v>1238451</v>
      </c>
      <c r="K28" s="45">
        <f>+'[2]Tabla Homol.Dic.2014'!K17</f>
        <v>1039185</v>
      </c>
      <c r="L28" s="45">
        <f>+'[2]Tabla Homol.Dic.2014'!L17</f>
        <v>881032</v>
      </c>
      <c r="M28" s="45">
        <f>+'[2]Tabla Homol.Dic.2014'!M17</f>
        <v>822623</v>
      </c>
      <c r="N28" s="45">
        <f>+'[2]Tabla Homol.Dic.2014'!N17</f>
        <v>716545</v>
      </c>
      <c r="O28" s="46"/>
      <c r="P28" s="45"/>
      <c r="Q28" s="45"/>
      <c r="R28" s="45"/>
      <c r="S28" s="45">
        <f>+'[2]Tabla Homol.Dic.2014'!S17</f>
        <v>457587</v>
      </c>
      <c r="T28" s="45">
        <f>+'[2]Tabla Homol.Dic.2014'!T17</f>
        <v>449183</v>
      </c>
      <c r="U28" s="45">
        <f>+'[2]Tabla Homol.Dic.2014'!U17</f>
        <v>408116</v>
      </c>
      <c r="AI28" s="47"/>
    </row>
    <row r="29" spans="1:36" s="44" customFormat="1" x14ac:dyDescent="0.2">
      <c r="B29" s="45">
        <f>+B18-'[2]Tabla Homol.Dic.2014'!B17</f>
        <v>442249</v>
      </c>
      <c r="C29" s="45">
        <f>+C18-'[2]Tabla Homol.Dic.2014'!C17</f>
        <v>232707</v>
      </c>
      <c r="D29" s="45">
        <f>+D18-'[2]Tabla Homol.Dic.2014'!D17</f>
        <v>1908457</v>
      </c>
      <c r="E29" s="45">
        <f>+E18-'[2]Tabla Homol.Dic.2014'!E17</f>
        <v>670235</v>
      </c>
      <c r="F29" s="45">
        <f>+F18-'[2]Tabla Homol.Dic.2014'!F17</f>
        <v>648426</v>
      </c>
      <c r="G29" s="45">
        <f>+G18-'[2]Tabla Homol.Dic.2014'!G17</f>
        <v>592418</v>
      </c>
      <c r="H29" s="45">
        <f>+H18-'[2]Tabla Homol.Dic.2014'!H17</f>
        <v>521770</v>
      </c>
      <c r="I29" s="45">
        <f>+I18-'[2]Tabla Homol.Dic.2014'!I17</f>
        <v>467358</v>
      </c>
      <c r="J29" s="45">
        <f>+J18-'[2]Tabla Homol.Dic.2014'!J17</f>
        <v>418094</v>
      </c>
      <c r="K29" s="45">
        <f>+K18-'[2]Tabla Homol.Dic.2014'!K17</f>
        <v>371993</v>
      </c>
      <c r="L29" s="45">
        <f>+L18-'[2]Tabla Homol.Dic.2014'!L17</f>
        <v>332678</v>
      </c>
      <c r="M29" s="45">
        <f>+M18-'[2]Tabla Homol.Dic.2014'!M17</f>
        <v>303312</v>
      </c>
      <c r="N29" s="45">
        <f>+N18-'[2]Tabla Homol.Dic.2014'!N17</f>
        <v>69083</v>
      </c>
      <c r="O29" s="45">
        <f>+O18-'[2]Tabla Homol.Dic.2014'!O17</f>
        <v>61855</v>
      </c>
      <c r="P29" s="45">
        <f>+P18-'[2]Tabla Homol.Dic.2014'!P17</f>
        <v>55701</v>
      </c>
      <c r="Q29" s="45">
        <f>+Q18-'[2]Tabla Homol.Dic.2014'!Q17</f>
        <v>53072</v>
      </c>
      <c r="R29" s="45">
        <f>+R18-'[2]Tabla Homol.Dic.2014'!R17</f>
        <v>50781</v>
      </c>
      <c r="S29" s="45">
        <f>+S18-'[2]Tabla Homol.Dic.2014'!S17</f>
        <v>47794</v>
      </c>
      <c r="T29" s="45">
        <f>+T18-'[2]Tabla Homol.Dic.2014'!T17</f>
        <v>43572</v>
      </c>
      <c r="U29" s="45">
        <f>+U18-'[2]Tabla Homol.Dic.2014'!U17</f>
        <v>39876</v>
      </c>
      <c r="AI29" s="47"/>
    </row>
    <row r="30" spans="1:36" s="140" customFormat="1" x14ac:dyDescent="0.2">
      <c r="A30" s="138" t="s">
        <v>12</v>
      </c>
      <c r="B30" s="139">
        <f>+B29+'[2]Tabla Homol.Dic.2014'!B25</f>
        <v>442249</v>
      </c>
      <c r="C30" s="139">
        <f>+C29+'[2]Tabla Homol.Dic.2014'!C25</f>
        <v>232707</v>
      </c>
      <c r="D30" s="139">
        <f>+D29+'[2]Tabla Homol.Dic.2014'!D25</f>
        <v>1908457</v>
      </c>
      <c r="E30" s="139">
        <f>+E29+'[2]Tabla Homol.Dic.2014'!E25</f>
        <v>670235</v>
      </c>
      <c r="F30" s="139">
        <f>+F29+'[2]Tabla Homol.Dic.2014'!F25</f>
        <v>648426</v>
      </c>
      <c r="G30" s="139">
        <f>+G29+'[2]Tabla Homol.Dic.2014'!G25</f>
        <v>592418</v>
      </c>
      <c r="H30" s="139">
        <f>+H29+'[2]Tabla Homol.Dic.2014'!H25</f>
        <v>521770</v>
      </c>
      <c r="I30" s="139">
        <f>+I29+'[2]Tabla Homol.Dic.2014'!I25</f>
        <v>467358</v>
      </c>
      <c r="J30" s="139">
        <f>+J29+'[2]Tabla Homol.Dic.2014'!J25</f>
        <v>418094</v>
      </c>
      <c r="K30" s="139">
        <f>+K29+'[2]Tabla Homol.Dic.2014'!K25</f>
        <v>371993</v>
      </c>
      <c r="L30" s="139">
        <f>+L29+'[2]Tabla Homol.Dic.2014'!L25</f>
        <v>332678</v>
      </c>
      <c r="M30" s="139">
        <f>+M29+'[2]Tabla Homol.Dic.2014'!M25</f>
        <v>303312</v>
      </c>
      <c r="N30" s="139">
        <f>+N29+'[2]Tabla Homol.Dic.2014'!N25</f>
        <v>69083</v>
      </c>
      <c r="O30" s="139">
        <f>+O29+'[2]Tabla Homol.Dic.2014'!O25</f>
        <v>61855</v>
      </c>
      <c r="P30" s="139">
        <f>+P29+'[2]Tabla Homol.Dic.2014'!P25</f>
        <v>55701</v>
      </c>
      <c r="Q30" s="139">
        <f>+Q29+'[2]Tabla Homol.Dic.2014'!Q25</f>
        <v>53072</v>
      </c>
      <c r="R30" s="139">
        <f>+R29+'[2]Tabla Homol.Dic.2014'!R25</f>
        <v>50781</v>
      </c>
      <c r="S30" s="139">
        <f>+S29+'[2]Tabla Homol.Dic.2014'!S25</f>
        <v>47794</v>
      </c>
      <c r="T30" s="139">
        <f>+T29+'[2]Tabla Homol.Dic.2014'!T25</f>
        <v>43572</v>
      </c>
      <c r="U30" s="139">
        <f>+U29+'[2]Tabla Homol.Dic.2014'!U25</f>
        <v>39876</v>
      </c>
      <c r="AI30" s="141"/>
    </row>
    <row r="31" spans="1:36" x14ac:dyDescent="0.2">
      <c r="C31" s="5"/>
      <c r="D31" s="5"/>
      <c r="E31" s="5"/>
      <c r="F31" s="5"/>
      <c r="G31" s="5"/>
      <c r="H31" s="5"/>
      <c r="I31" s="5"/>
      <c r="K31" s="5"/>
      <c r="L31" s="4"/>
      <c r="M31" s="6"/>
      <c r="N31" s="52"/>
      <c r="O31" s="52"/>
      <c r="P31" s="52"/>
    </row>
    <row r="32" spans="1:36" s="53" customFormat="1" ht="18.75" x14ac:dyDescent="0.2">
      <c r="B32" s="321" t="s">
        <v>66</v>
      </c>
      <c r="C32" s="321"/>
      <c r="D32" s="321"/>
      <c r="E32" s="321"/>
      <c r="F32" s="321"/>
      <c r="G32" s="321"/>
      <c r="H32" s="321"/>
      <c r="I32" s="54"/>
      <c r="J32" s="321" t="s">
        <v>14</v>
      </c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AI32" s="55"/>
    </row>
    <row r="33" spans="2:35" x14ac:dyDescent="0.2">
      <c r="B33" s="56"/>
      <c r="C33" s="57"/>
      <c r="D33" s="57"/>
      <c r="E33" s="57"/>
      <c r="F33" s="57"/>
      <c r="G33" s="57"/>
      <c r="H33" s="58"/>
      <c r="I33" s="5"/>
      <c r="J33" s="304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6"/>
    </row>
    <row r="34" spans="2:35" ht="12.75" x14ac:dyDescent="0.2">
      <c r="B34" s="299" t="s">
        <v>15</v>
      </c>
      <c r="C34" s="296" t="s">
        <v>16</v>
      </c>
      <c r="D34" s="296" t="s">
        <v>17</v>
      </c>
      <c r="E34" s="307" t="s">
        <v>18</v>
      </c>
      <c r="F34" s="307"/>
      <c r="G34" s="307"/>
      <c r="H34" s="299" t="s">
        <v>15</v>
      </c>
      <c r="I34" s="5"/>
      <c r="J34" s="308" t="s">
        <v>19</v>
      </c>
      <c r="K34" s="310" t="s">
        <v>20</v>
      </c>
      <c r="L34" s="311"/>
      <c r="M34" s="311"/>
      <c r="N34" s="312"/>
      <c r="O34" s="59" t="s">
        <v>21</v>
      </c>
      <c r="P34" s="313">
        <v>0.30599999999999999</v>
      </c>
      <c r="Q34" s="314"/>
      <c r="R34" s="314"/>
      <c r="S34" s="314"/>
      <c r="T34" s="315"/>
      <c r="U34" s="308" t="s">
        <v>19</v>
      </c>
      <c r="Y34" s="60"/>
      <c r="Z34" s="61" t="s">
        <v>22</v>
      </c>
      <c r="AA34" s="62"/>
      <c r="AB34" s="63"/>
      <c r="AI34" s="4"/>
    </row>
    <row r="35" spans="2:35" ht="18.75" customHeight="1" x14ac:dyDescent="0.2">
      <c r="B35" s="299"/>
      <c r="C35" s="297"/>
      <c r="D35" s="297"/>
      <c r="E35" s="64" t="s">
        <v>23</v>
      </c>
      <c r="F35" s="142">
        <v>0.25</v>
      </c>
      <c r="G35" s="142">
        <v>0.5</v>
      </c>
      <c r="H35" s="299"/>
      <c r="I35" s="5"/>
      <c r="J35" s="309"/>
      <c r="K35" s="66" t="s">
        <v>24</v>
      </c>
      <c r="L35" s="64" t="s">
        <v>25</v>
      </c>
      <c r="M35" s="64" t="s">
        <v>26</v>
      </c>
      <c r="N35" s="67" t="s">
        <v>27</v>
      </c>
      <c r="O35" s="68" t="s">
        <v>28</v>
      </c>
      <c r="P35" s="157" t="s">
        <v>29</v>
      </c>
      <c r="Q35" s="144">
        <f>+S61</f>
        <v>0.15</v>
      </c>
      <c r="R35" s="144">
        <f>+S62</f>
        <v>7.5999999999999998E-2</v>
      </c>
      <c r="S35" s="144">
        <f>+S63</f>
        <v>0.08</v>
      </c>
      <c r="T35" s="159">
        <f>+S64</f>
        <v>0.30599999999999999</v>
      </c>
      <c r="U35" s="309"/>
      <c r="V35" s="72"/>
      <c r="W35" s="72"/>
      <c r="Y35" s="64" t="s">
        <v>30</v>
      </c>
      <c r="Z35" s="73" t="s">
        <v>29</v>
      </c>
      <c r="AA35" s="74" t="s">
        <v>31</v>
      </c>
      <c r="AB35" s="75" t="s">
        <v>32</v>
      </c>
      <c r="AC35" s="7" t="s">
        <v>33</v>
      </c>
      <c r="AD35" s="7"/>
      <c r="AI35" s="4"/>
    </row>
    <row r="36" spans="2:35" x14ac:dyDescent="0.2">
      <c r="B36" s="76">
        <v>1</v>
      </c>
      <c r="C36" s="77">
        <f>+B5</f>
        <v>612609</v>
      </c>
      <c r="D36" s="77">
        <f>+B7</f>
        <v>2275312</v>
      </c>
      <c r="E36" s="11">
        <f>+(C36+D36)/190</f>
        <v>15199.584210526316</v>
      </c>
      <c r="F36" s="143">
        <f>+E36*1.25</f>
        <v>18999.480263157897</v>
      </c>
      <c r="G36" s="143">
        <f>+E36*1.5</f>
        <v>22799.376315789475</v>
      </c>
      <c r="H36" s="64">
        <f>+B36</f>
        <v>1</v>
      </c>
      <c r="I36" s="5"/>
      <c r="J36" s="64">
        <v>1</v>
      </c>
      <c r="K36" s="79">
        <f t="shared" ref="K36:K55" si="6">HLOOKUP($J$36:$J$55,Grados2015,3,0)</f>
        <v>612609</v>
      </c>
      <c r="L36" s="79">
        <f t="shared" ref="L36:L55" si="7">HLOOKUP($J$36:$J$55,Grados2015,5,0)</f>
        <v>2275312</v>
      </c>
      <c r="M36" s="79">
        <f t="shared" ref="M36:M55" si="8">HLOOKUP($J$36:$J$55,Grados2015,8,0)</f>
        <v>18938</v>
      </c>
      <c r="N36" s="79">
        <f t="shared" ref="N36:N55" si="9">HLOOKUP($J$36:$J$55,Grados2015,10,0)</f>
        <v>0</v>
      </c>
      <c r="O36" s="77">
        <f>SUM(K36:N36)</f>
        <v>2906859</v>
      </c>
      <c r="P36" s="158">
        <f>ROUND(O36*$P$34,0)</f>
        <v>889499</v>
      </c>
      <c r="Q36" s="143">
        <f>ROUND(O36*Q$35*3,0)</f>
        <v>1308087</v>
      </c>
      <c r="R36" s="143">
        <f>ROUND(O36*R$35*3,0)</f>
        <v>662764</v>
      </c>
      <c r="S36" s="143">
        <f>ROUND(O36*S$35*3,0)</f>
        <v>697646</v>
      </c>
      <c r="T36" s="158">
        <f>SUM(Q36:S36)</f>
        <v>2668497</v>
      </c>
      <c r="U36" s="64">
        <v>1</v>
      </c>
      <c r="V36" s="21"/>
      <c r="W36" s="21"/>
      <c r="Y36" s="64">
        <f t="shared" ref="Y36:Y54" si="10">+J36</f>
        <v>1</v>
      </c>
      <c r="Z36" s="81">
        <f>+'[3]Tabla Homologada Enero-Nov.2013'!Q32</f>
        <v>243107</v>
      </c>
      <c r="AA36" s="82">
        <f>Z36*3</f>
        <v>729321</v>
      </c>
      <c r="AB36" s="83">
        <f t="shared" ref="AB36:AB54" si="11">Z36*12</f>
        <v>2917284</v>
      </c>
      <c r="AC36" s="7">
        <v>1</v>
      </c>
      <c r="AD36" s="12"/>
      <c r="AI36" s="4"/>
    </row>
    <row r="37" spans="2:35" x14ac:dyDescent="0.2">
      <c r="B37" s="76">
        <v>2</v>
      </c>
      <c r="C37" s="77">
        <f>+C5</f>
        <v>578204</v>
      </c>
      <c r="D37" s="77">
        <f>+C7</f>
        <v>2176813</v>
      </c>
      <c r="E37" s="11">
        <f t="shared" ref="E37:E55" si="12">+(C37+D37)/190</f>
        <v>14500.089473684211</v>
      </c>
      <c r="F37" s="143">
        <f t="shared" ref="F37:F53" si="13">+E37*1.25</f>
        <v>18125.111842105263</v>
      </c>
      <c r="G37" s="143">
        <f t="shared" ref="G37:G55" si="14">+E37*1.5</f>
        <v>21750.134210526317</v>
      </c>
      <c r="H37" s="64">
        <f t="shared" ref="H37:H55" si="15">+B37</f>
        <v>2</v>
      </c>
      <c r="I37" s="5"/>
      <c r="J37" s="64">
        <v>2</v>
      </c>
      <c r="K37" s="79">
        <f t="shared" si="6"/>
        <v>578204</v>
      </c>
      <c r="L37" s="79">
        <f t="shared" si="7"/>
        <v>2176813</v>
      </c>
      <c r="M37" s="79">
        <f t="shared" si="8"/>
        <v>18938</v>
      </c>
      <c r="N37" s="79">
        <f t="shared" si="9"/>
        <v>0</v>
      </c>
      <c r="O37" s="77">
        <f t="shared" ref="O37:O54" si="16">SUM(K37:N37)</f>
        <v>2773955</v>
      </c>
      <c r="P37" s="158">
        <f t="shared" ref="P37:P55" si="17">ROUND(O37*$P$34,0)</f>
        <v>848830</v>
      </c>
      <c r="Q37" s="143">
        <f t="shared" ref="Q37:Q55" si="18">ROUND(O37*Q$35*3,0)</f>
        <v>1248280</v>
      </c>
      <c r="R37" s="143">
        <f t="shared" ref="R37:R55" si="19">ROUND(O37*R$35*3,0)</f>
        <v>632462</v>
      </c>
      <c r="S37" s="143">
        <f t="shared" ref="S37:S55" si="20">ROUND(O37*S$35*3,0)</f>
        <v>665749</v>
      </c>
      <c r="T37" s="158">
        <f t="shared" ref="T37:T55" si="21">SUM(Q37:S37)</f>
        <v>2546491</v>
      </c>
      <c r="U37" s="64">
        <v>2</v>
      </c>
      <c r="V37" s="21"/>
      <c r="W37" s="21"/>
      <c r="Y37" s="64">
        <f t="shared" si="10"/>
        <v>2</v>
      </c>
      <c r="Z37" s="81">
        <f>+'[3]Tabla Homologada Enero-Nov.2013'!Q33</f>
        <v>231992</v>
      </c>
      <c r="AA37" s="82">
        <f t="shared" ref="AA37:AA55" si="22">Z37*3</f>
        <v>695976</v>
      </c>
      <c r="AB37" s="83">
        <f t="shared" si="11"/>
        <v>2783904</v>
      </c>
      <c r="AC37" s="7">
        <v>0</v>
      </c>
      <c r="AD37" s="12"/>
      <c r="AI37" s="4"/>
    </row>
    <row r="38" spans="2:35" x14ac:dyDescent="0.2">
      <c r="B38" s="76">
        <v>3</v>
      </c>
      <c r="C38" s="77">
        <f>+D5</f>
        <v>610489</v>
      </c>
      <c r="D38" s="77">
        <f>++D7</f>
        <v>1795002</v>
      </c>
      <c r="E38" s="11">
        <f t="shared" si="12"/>
        <v>12660.478947368421</v>
      </c>
      <c r="F38" s="143">
        <f t="shared" si="13"/>
        <v>15825.598684210527</v>
      </c>
      <c r="G38" s="143">
        <f t="shared" si="14"/>
        <v>18990.718421052632</v>
      </c>
      <c r="H38" s="64">
        <f t="shared" si="15"/>
        <v>3</v>
      </c>
      <c r="I38" s="5"/>
      <c r="J38" s="64">
        <v>3</v>
      </c>
      <c r="K38" s="79">
        <f t="shared" si="6"/>
        <v>610489</v>
      </c>
      <c r="L38" s="79">
        <f t="shared" si="7"/>
        <v>1795002</v>
      </c>
      <c r="M38" s="79">
        <f t="shared" si="8"/>
        <v>18938</v>
      </c>
      <c r="N38" s="79">
        <f t="shared" si="9"/>
        <v>25978</v>
      </c>
      <c r="O38" s="77">
        <f t="shared" si="16"/>
        <v>2450407</v>
      </c>
      <c r="P38" s="158">
        <f t="shared" si="17"/>
        <v>749825</v>
      </c>
      <c r="Q38" s="143">
        <f t="shared" si="18"/>
        <v>1102683</v>
      </c>
      <c r="R38" s="143">
        <f t="shared" si="19"/>
        <v>558693</v>
      </c>
      <c r="S38" s="143">
        <f t="shared" si="20"/>
        <v>588098</v>
      </c>
      <c r="T38" s="158">
        <f t="shared" si="21"/>
        <v>2249474</v>
      </c>
      <c r="U38" s="64">
        <v>3</v>
      </c>
      <c r="V38" s="21"/>
      <c r="W38" s="21"/>
      <c r="Y38" s="64">
        <f t="shared" si="10"/>
        <v>3</v>
      </c>
      <c r="Z38" s="81">
        <f>+'[3]Tabla Homologada Enero-Nov.2013'!Q34</f>
        <v>204200</v>
      </c>
      <c r="AA38" s="82">
        <f t="shared" si="22"/>
        <v>612600</v>
      </c>
      <c r="AB38" s="83">
        <f t="shared" si="11"/>
        <v>2450400</v>
      </c>
      <c r="AC38" s="7">
        <v>4</v>
      </c>
      <c r="AD38" s="12"/>
      <c r="AI38" s="4"/>
    </row>
    <row r="39" spans="2:35" x14ac:dyDescent="0.2">
      <c r="B39" s="76">
        <v>4</v>
      </c>
      <c r="C39" s="77">
        <f>+E5</f>
        <v>575948</v>
      </c>
      <c r="D39" s="77">
        <f>+E7</f>
        <v>1741543</v>
      </c>
      <c r="E39" s="11">
        <f t="shared" si="12"/>
        <v>12197.32105263158</v>
      </c>
      <c r="F39" s="143">
        <f t="shared" si="13"/>
        <v>15246.651315789475</v>
      </c>
      <c r="G39" s="143">
        <f t="shared" si="14"/>
        <v>18295.981578947369</v>
      </c>
      <c r="H39" s="64">
        <f t="shared" si="15"/>
        <v>4</v>
      </c>
      <c r="I39" s="5"/>
      <c r="J39" s="64">
        <v>4</v>
      </c>
      <c r="K39" s="79">
        <f t="shared" si="6"/>
        <v>575948</v>
      </c>
      <c r="L39" s="79">
        <f t="shared" si="7"/>
        <v>1741543</v>
      </c>
      <c r="M39" s="79">
        <f t="shared" si="8"/>
        <v>18938</v>
      </c>
      <c r="N39" s="79">
        <f t="shared" si="9"/>
        <v>25978</v>
      </c>
      <c r="O39" s="77">
        <f t="shared" si="16"/>
        <v>2362407</v>
      </c>
      <c r="P39" s="158">
        <f t="shared" si="17"/>
        <v>722897</v>
      </c>
      <c r="Q39" s="143">
        <f t="shared" si="18"/>
        <v>1063083</v>
      </c>
      <c r="R39" s="143">
        <f t="shared" si="19"/>
        <v>538629</v>
      </c>
      <c r="S39" s="143">
        <f t="shared" si="20"/>
        <v>566978</v>
      </c>
      <c r="T39" s="158">
        <f t="shared" si="21"/>
        <v>2168690</v>
      </c>
      <c r="U39" s="64">
        <v>4</v>
      </c>
      <c r="V39" s="21"/>
      <c r="W39" s="21"/>
      <c r="Y39" s="64">
        <f t="shared" si="10"/>
        <v>4</v>
      </c>
      <c r="Z39" s="81">
        <f>+'[3]Tabla Homologada Enero-Nov.2013'!Q35</f>
        <v>196977</v>
      </c>
      <c r="AA39" s="82">
        <f t="shared" si="22"/>
        <v>590931</v>
      </c>
      <c r="AB39" s="83">
        <f t="shared" si="11"/>
        <v>2363724</v>
      </c>
      <c r="AC39" s="7">
        <v>5</v>
      </c>
      <c r="AD39" s="12"/>
      <c r="AI39" s="4"/>
    </row>
    <row r="40" spans="2:35" x14ac:dyDescent="0.2">
      <c r="B40" s="76">
        <v>5</v>
      </c>
      <c r="C40" s="77">
        <f>+F5</f>
        <v>543368</v>
      </c>
      <c r="D40" s="77">
        <f>+F7</f>
        <v>1496816</v>
      </c>
      <c r="E40" s="11">
        <f t="shared" si="12"/>
        <v>10737.810526315789</v>
      </c>
      <c r="F40" s="143">
        <f t="shared" si="13"/>
        <v>13422.263157894737</v>
      </c>
      <c r="G40" s="143">
        <f t="shared" si="14"/>
        <v>16106.715789473683</v>
      </c>
      <c r="H40" s="64">
        <f t="shared" si="15"/>
        <v>5</v>
      </c>
      <c r="I40" s="6"/>
      <c r="J40" s="64">
        <v>5</v>
      </c>
      <c r="K40" s="79">
        <f t="shared" si="6"/>
        <v>543368</v>
      </c>
      <c r="L40" s="79">
        <f t="shared" si="7"/>
        <v>1496816</v>
      </c>
      <c r="M40" s="79">
        <f t="shared" si="8"/>
        <v>18938</v>
      </c>
      <c r="N40" s="79">
        <f t="shared" si="9"/>
        <v>25978</v>
      </c>
      <c r="O40" s="77">
        <f t="shared" si="16"/>
        <v>2085100</v>
      </c>
      <c r="P40" s="158">
        <f t="shared" si="17"/>
        <v>638041</v>
      </c>
      <c r="Q40" s="143">
        <f t="shared" si="18"/>
        <v>938295</v>
      </c>
      <c r="R40" s="143">
        <f t="shared" si="19"/>
        <v>475403</v>
      </c>
      <c r="S40" s="143">
        <f t="shared" si="20"/>
        <v>500424</v>
      </c>
      <c r="T40" s="158">
        <f t="shared" si="21"/>
        <v>1914122</v>
      </c>
      <c r="U40" s="64">
        <v>5</v>
      </c>
      <c r="V40" s="21"/>
      <c r="W40" s="21"/>
      <c r="Y40" s="64">
        <f t="shared" si="10"/>
        <v>5</v>
      </c>
      <c r="Z40" s="81">
        <f>+'[3]Tabla Homologada Enero-Nov.2013'!Q36</f>
        <v>173853</v>
      </c>
      <c r="AA40" s="82">
        <f t="shared" si="22"/>
        <v>521559</v>
      </c>
      <c r="AB40" s="83">
        <f t="shared" si="11"/>
        <v>2086236</v>
      </c>
      <c r="AC40" s="7">
        <v>3</v>
      </c>
      <c r="AD40" s="12"/>
      <c r="AI40" s="4"/>
    </row>
    <row r="41" spans="2:35" x14ac:dyDescent="0.2">
      <c r="B41" s="76">
        <v>6</v>
      </c>
      <c r="C41" s="77">
        <f>+G5</f>
        <v>512571</v>
      </c>
      <c r="D41" s="77">
        <f>+G7</f>
        <v>1264924</v>
      </c>
      <c r="E41" s="11">
        <f t="shared" si="12"/>
        <v>9355.2368421052633</v>
      </c>
      <c r="F41" s="143">
        <f t="shared" si="13"/>
        <v>11694.04605263158</v>
      </c>
      <c r="G41" s="143">
        <f t="shared" si="14"/>
        <v>14032.855263157895</v>
      </c>
      <c r="H41" s="64">
        <f t="shared" si="15"/>
        <v>6</v>
      </c>
      <c r="I41" s="6"/>
      <c r="J41" s="64">
        <v>6</v>
      </c>
      <c r="K41" s="79">
        <f t="shared" si="6"/>
        <v>512571</v>
      </c>
      <c r="L41" s="79">
        <f t="shared" si="7"/>
        <v>1264924</v>
      </c>
      <c r="M41" s="79">
        <f t="shared" si="8"/>
        <v>18938</v>
      </c>
      <c r="N41" s="79">
        <f t="shared" si="9"/>
        <v>29873</v>
      </c>
      <c r="O41" s="77">
        <f t="shared" si="16"/>
        <v>1826306</v>
      </c>
      <c r="P41" s="158">
        <f t="shared" si="17"/>
        <v>558850</v>
      </c>
      <c r="Q41" s="143">
        <f t="shared" si="18"/>
        <v>821838</v>
      </c>
      <c r="R41" s="143">
        <f t="shared" si="19"/>
        <v>416398</v>
      </c>
      <c r="S41" s="143">
        <f t="shared" si="20"/>
        <v>438313</v>
      </c>
      <c r="T41" s="158">
        <f t="shared" si="21"/>
        <v>1676549</v>
      </c>
      <c r="U41" s="64">
        <v>6</v>
      </c>
      <c r="V41" s="21"/>
      <c r="W41" s="21"/>
      <c r="Y41" s="64">
        <f t="shared" si="10"/>
        <v>6</v>
      </c>
      <c r="Z41" s="81">
        <f>+'[3]Tabla Homologada Enero-Nov.2013'!Q37</f>
        <v>150840</v>
      </c>
      <c r="AA41" s="82">
        <f t="shared" si="22"/>
        <v>452520</v>
      </c>
      <c r="AB41" s="83">
        <f t="shared" si="11"/>
        <v>1810080</v>
      </c>
      <c r="AC41" s="7">
        <f>17+4</f>
        <v>21</v>
      </c>
      <c r="AD41" s="12"/>
      <c r="AI41" s="4"/>
    </row>
    <row r="42" spans="2:35" x14ac:dyDescent="0.2">
      <c r="B42" s="76">
        <v>7</v>
      </c>
      <c r="C42" s="77">
        <f>+H5</f>
        <v>472464</v>
      </c>
      <c r="D42" s="77">
        <f>+H7</f>
        <v>948600</v>
      </c>
      <c r="E42" s="11">
        <f>+(C42+D42)/190</f>
        <v>7479.2842105263162</v>
      </c>
      <c r="F42" s="143">
        <f t="shared" si="13"/>
        <v>9349.105263157895</v>
      </c>
      <c r="G42" s="143">
        <f t="shared" si="14"/>
        <v>11218.926315789475</v>
      </c>
      <c r="H42" s="64">
        <f t="shared" si="15"/>
        <v>7</v>
      </c>
      <c r="J42" s="64">
        <v>7</v>
      </c>
      <c r="K42" s="79">
        <f t="shared" si="6"/>
        <v>472464</v>
      </c>
      <c r="L42" s="79">
        <f t="shared" si="7"/>
        <v>948600</v>
      </c>
      <c r="M42" s="79">
        <f t="shared" si="8"/>
        <v>18938</v>
      </c>
      <c r="N42" s="79">
        <f t="shared" si="9"/>
        <v>29873</v>
      </c>
      <c r="O42" s="77">
        <f t="shared" si="16"/>
        <v>1469875</v>
      </c>
      <c r="P42" s="158">
        <f>ROUND(O42*$P$34,0)</f>
        <v>449782</v>
      </c>
      <c r="Q42" s="143">
        <f t="shared" si="18"/>
        <v>661444</v>
      </c>
      <c r="R42" s="143">
        <f t="shared" si="19"/>
        <v>335132</v>
      </c>
      <c r="S42" s="143">
        <f t="shared" si="20"/>
        <v>352770</v>
      </c>
      <c r="T42" s="158">
        <f>SUM(Q42:S42)</f>
        <v>1349346</v>
      </c>
      <c r="U42" s="64">
        <v>7</v>
      </c>
      <c r="V42" s="21"/>
      <c r="W42" s="21"/>
      <c r="Y42" s="64">
        <f t="shared" si="10"/>
        <v>7</v>
      </c>
      <c r="Z42" s="81">
        <f>+'[3]Tabla Homologada Enero-Nov.2013'!Q38</f>
        <v>121259</v>
      </c>
      <c r="AA42" s="82">
        <f t="shared" si="22"/>
        <v>363777</v>
      </c>
      <c r="AB42" s="83">
        <f t="shared" si="11"/>
        <v>1455108</v>
      </c>
      <c r="AC42" s="7">
        <f>22+5</f>
        <v>27</v>
      </c>
      <c r="AD42" s="12"/>
      <c r="AI42" s="4"/>
    </row>
    <row r="43" spans="2:35" x14ac:dyDescent="0.2">
      <c r="B43" s="76">
        <v>8</v>
      </c>
      <c r="C43" s="77">
        <f>+I5</f>
        <v>437429</v>
      </c>
      <c r="D43" s="77">
        <f>+I7</f>
        <v>728328</v>
      </c>
      <c r="E43" s="11">
        <f t="shared" si="12"/>
        <v>6135.5631578947368</v>
      </c>
      <c r="F43" s="143">
        <f t="shared" si="13"/>
        <v>7669.4539473684208</v>
      </c>
      <c r="G43" s="143">
        <f t="shared" si="14"/>
        <v>9203.3447368421057</v>
      </c>
      <c r="H43" s="64">
        <f t="shared" si="15"/>
        <v>8</v>
      </c>
      <c r="J43" s="64">
        <v>8</v>
      </c>
      <c r="K43" s="79">
        <f t="shared" si="6"/>
        <v>437429</v>
      </c>
      <c r="L43" s="79">
        <f t="shared" si="7"/>
        <v>728328</v>
      </c>
      <c r="M43" s="79">
        <f t="shared" si="8"/>
        <v>18938</v>
      </c>
      <c r="N43" s="79">
        <f t="shared" si="9"/>
        <v>29873</v>
      </c>
      <c r="O43" s="77">
        <f t="shared" si="16"/>
        <v>1214568</v>
      </c>
      <c r="P43" s="158">
        <f t="shared" si="17"/>
        <v>371658</v>
      </c>
      <c r="Q43" s="143">
        <f t="shared" si="18"/>
        <v>546556</v>
      </c>
      <c r="R43" s="143">
        <f t="shared" si="19"/>
        <v>276922</v>
      </c>
      <c r="S43" s="143">
        <f t="shared" si="20"/>
        <v>291496</v>
      </c>
      <c r="T43" s="158">
        <f t="shared" si="21"/>
        <v>1114974</v>
      </c>
      <c r="U43" s="64">
        <v>8</v>
      </c>
      <c r="V43" s="21"/>
      <c r="W43" s="21"/>
      <c r="Y43" s="64">
        <f t="shared" si="10"/>
        <v>8</v>
      </c>
      <c r="Z43" s="81">
        <f>+'[3]Tabla Homologada Enero-Nov.2013'!Q39</f>
        <v>99030</v>
      </c>
      <c r="AA43" s="82">
        <f t="shared" si="22"/>
        <v>297090</v>
      </c>
      <c r="AB43" s="83">
        <f t="shared" si="11"/>
        <v>1188360</v>
      </c>
      <c r="AC43" s="7">
        <f>21+11</f>
        <v>32</v>
      </c>
      <c r="AD43" s="12"/>
      <c r="AI43" s="4"/>
    </row>
    <row r="44" spans="2:35" x14ac:dyDescent="0.2">
      <c r="B44" s="76">
        <v>9</v>
      </c>
      <c r="C44" s="77">
        <f>+J5</f>
        <v>404987</v>
      </c>
      <c r="D44" s="77">
        <f>+J7</f>
        <v>559632</v>
      </c>
      <c r="E44" s="11">
        <f t="shared" si="12"/>
        <v>5076.9421052631578</v>
      </c>
      <c r="F44" s="143">
        <f t="shared" si="13"/>
        <v>6346.1776315789475</v>
      </c>
      <c r="G44" s="143">
        <f t="shared" si="14"/>
        <v>7615.4131578947363</v>
      </c>
      <c r="H44" s="64">
        <f t="shared" si="15"/>
        <v>9</v>
      </c>
      <c r="I44" s="5">
        <f>+F44*10</f>
        <v>63461.776315789473</v>
      </c>
      <c r="J44" s="64">
        <v>9</v>
      </c>
      <c r="K44" s="79">
        <f t="shared" si="6"/>
        <v>404987</v>
      </c>
      <c r="L44" s="79">
        <f t="shared" si="7"/>
        <v>559632</v>
      </c>
      <c r="M44" s="79">
        <f t="shared" si="8"/>
        <v>18938</v>
      </c>
      <c r="N44" s="79">
        <f t="shared" si="9"/>
        <v>29873</v>
      </c>
      <c r="O44" s="77">
        <f t="shared" si="16"/>
        <v>1013430</v>
      </c>
      <c r="P44" s="158">
        <f t="shared" si="17"/>
        <v>310110</v>
      </c>
      <c r="Q44" s="143">
        <f t="shared" si="18"/>
        <v>456044</v>
      </c>
      <c r="R44" s="143">
        <f t="shared" si="19"/>
        <v>231062</v>
      </c>
      <c r="S44" s="143">
        <f t="shared" si="20"/>
        <v>243223</v>
      </c>
      <c r="T44" s="158">
        <f>SUM(Q44:S44)</f>
        <v>930329</v>
      </c>
      <c r="U44" s="64">
        <v>9</v>
      </c>
      <c r="V44" s="84">
        <f>+Q44/3</f>
        <v>152014.66666666666</v>
      </c>
      <c r="W44" s="84">
        <f t="shared" ref="W44:X44" si="23">+R44/3</f>
        <v>77020.666666666672</v>
      </c>
      <c r="X44" s="84">
        <f t="shared" si="23"/>
        <v>81074.333333333328</v>
      </c>
      <c r="Y44" s="64">
        <f t="shared" si="10"/>
        <v>9</v>
      </c>
      <c r="Z44" s="81">
        <f>+'[3]Tabla Homologada Enero-Nov.2013'!Q40</f>
        <v>82126</v>
      </c>
      <c r="AA44" s="82">
        <f t="shared" si="22"/>
        <v>246378</v>
      </c>
      <c r="AB44" s="83">
        <f t="shared" si="11"/>
        <v>985512</v>
      </c>
      <c r="AC44" s="7">
        <f>20+7</f>
        <v>27</v>
      </c>
      <c r="AD44" s="12"/>
      <c r="AI44" s="4"/>
    </row>
    <row r="45" spans="2:35" x14ac:dyDescent="0.2">
      <c r="B45" s="76">
        <v>10</v>
      </c>
      <c r="C45" s="77">
        <f>+K5</f>
        <v>375015</v>
      </c>
      <c r="D45" s="77">
        <f>+K7</f>
        <v>423020</v>
      </c>
      <c r="E45" s="11">
        <f t="shared" si="12"/>
        <v>4200.1842105263158</v>
      </c>
      <c r="F45" s="143">
        <f t="shared" si="13"/>
        <v>5250.230263157895</v>
      </c>
      <c r="G45" s="143">
        <f t="shared" si="14"/>
        <v>6300.2763157894733</v>
      </c>
      <c r="H45" s="64">
        <f t="shared" si="15"/>
        <v>10</v>
      </c>
      <c r="I45" s="85">
        <f>+G44*3</f>
        <v>22846.239473684211</v>
      </c>
      <c r="J45" s="64">
        <v>10</v>
      </c>
      <c r="K45" s="79">
        <f t="shared" si="6"/>
        <v>375015</v>
      </c>
      <c r="L45" s="79">
        <f t="shared" si="7"/>
        <v>423020</v>
      </c>
      <c r="M45" s="79">
        <f t="shared" si="8"/>
        <v>18938</v>
      </c>
      <c r="N45" s="79">
        <f t="shared" si="9"/>
        <v>29873</v>
      </c>
      <c r="O45" s="77">
        <f t="shared" si="16"/>
        <v>846846</v>
      </c>
      <c r="P45" s="158">
        <f t="shared" si="17"/>
        <v>259135</v>
      </c>
      <c r="Q45" s="143">
        <f t="shared" si="18"/>
        <v>381081</v>
      </c>
      <c r="R45" s="143">
        <f t="shared" si="19"/>
        <v>193081</v>
      </c>
      <c r="S45" s="143">
        <f t="shared" si="20"/>
        <v>203243</v>
      </c>
      <c r="T45" s="158">
        <f>SUM(Q45:S45)</f>
        <v>777405</v>
      </c>
      <c r="U45" s="64">
        <v>10</v>
      </c>
      <c r="V45" s="84"/>
      <c r="W45" s="84"/>
      <c r="X45" s="12"/>
      <c r="Y45" s="64">
        <f t="shared" si="10"/>
        <v>10</v>
      </c>
      <c r="Z45" s="81">
        <f>+'[3]Tabla Homologada Enero-Nov.2013'!Q41</f>
        <v>68480</v>
      </c>
      <c r="AA45" s="82">
        <f t="shared" si="22"/>
        <v>205440</v>
      </c>
      <c r="AB45" s="83">
        <f t="shared" si="11"/>
        <v>821760</v>
      </c>
      <c r="AC45" s="7">
        <f>14+6</f>
        <v>20</v>
      </c>
      <c r="AD45" s="12"/>
      <c r="AI45" s="4"/>
    </row>
    <row r="46" spans="2:35" x14ac:dyDescent="0.2">
      <c r="B46" s="76">
        <v>11</v>
      </c>
      <c r="C46" s="77">
        <f>+L5</f>
        <v>347260</v>
      </c>
      <c r="D46" s="77">
        <f>+L7</f>
        <v>319639</v>
      </c>
      <c r="E46" s="11">
        <f t="shared" si="12"/>
        <v>3509.9947368421053</v>
      </c>
      <c r="F46" s="143">
        <f t="shared" si="13"/>
        <v>4387.4934210526317</v>
      </c>
      <c r="G46" s="143">
        <f t="shared" si="14"/>
        <v>5264.992105263158</v>
      </c>
      <c r="H46" s="64">
        <f t="shared" si="15"/>
        <v>11</v>
      </c>
      <c r="I46" s="6"/>
      <c r="J46" s="64">
        <v>11</v>
      </c>
      <c r="K46" s="79">
        <f t="shared" si="6"/>
        <v>347260</v>
      </c>
      <c r="L46" s="79">
        <f t="shared" si="7"/>
        <v>319639</v>
      </c>
      <c r="M46" s="79">
        <f t="shared" si="8"/>
        <v>18938</v>
      </c>
      <c r="N46" s="79">
        <f t="shared" si="9"/>
        <v>29873</v>
      </c>
      <c r="O46" s="77">
        <f t="shared" si="16"/>
        <v>715710</v>
      </c>
      <c r="P46" s="158">
        <f t="shared" si="17"/>
        <v>219007</v>
      </c>
      <c r="Q46" s="143">
        <f t="shared" si="18"/>
        <v>322070</v>
      </c>
      <c r="R46" s="143">
        <f t="shared" si="19"/>
        <v>163182</v>
      </c>
      <c r="S46" s="143">
        <f t="shared" si="20"/>
        <v>171770</v>
      </c>
      <c r="T46" s="158">
        <f t="shared" si="21"/>
        <v>657022</v>
      </c>
      <c r="U46" s="64">
        <v>11</v>
      </c>
      <c r="V46" s="84">
        <f>+S46/90*27</f>
        <v>51531</v>
      </c>
      <c r="W46" s="84">
        <f>+S46/3</f>
        <v>57256.666666666664</v>
      </c>
      <c r="X46" s="12"/>
      <c r="Y46" s="64">
        <f t="shared" si="10"/>
        <v>11</v>
      </c>
      <c r="Z46" s="81">
        <f>+'[3]Tabla Homologada Enero-Nov.2013'!Q42</f>
        <v>57683</v>
      </c>
      <c r="AA46" s="82">
        <f t="shared" si="22"/>
        <v>173049</v>
      </c>
      <c r="AB46" s="83">
        <f t="shared" si="11"/>
        <v>692196</v>
      </c>
      <c r="AC46" s="7">
        <f>17+3</f>
        <v>20</v>
      </c>
      <c r="AD46" s="12"/>
      <c r="AI46" s="4"/>
    </row>
    <row r="47" spans="2:35" x14ac:dyDescent="0.2">
      <c r="B47" s="76">
        <v>12</v>
      </c>
      <c r="C47" s="77">
        <f>+M5</f>
        <v>321537</v>
      </c>
      <c r="D47" s="77">
        <f>+M7</f>
        <v>235935</v>
      </c>
      <c r="E47" s="11">
        <f t="shared" si="12"/>
        <v>2934.0631578947368</v>
      </c>
      <c r="F47" s="143">
        <f t="shared" si="13"/>
        <v>3667.5789473684208</v>
      </c>
      <c r="G47" s="143">
        <f t="shared" si="14"/>
        <v>4401.0947368421057</v>
      </c>
      <c r="H47" s="64">
        <f t="shared" si="15"/>
        <v>12</v>
      </c>
      <c r="I47" s="6"/>
      <c r="J47" s="64">
        <v>12</v>
      </c>
      <c r="K47" s="79">
        <f t="shared" si="6"/>
        <v>321537</v>
      </c>
      <c r="L47" s="79">
        <f t="shared" si="7"/>
        <v>235935</v>
      </c>
      <c r="M47" s="79">
        <f t="shared" si="8"/>
        <v>70475</v>
      </c>
      <c r="N47" s="79">
        <f t="shared" si="9"/>
        <v>49354</v>
      </c>
      <c r="O47" s="77">
        <f t="shared" si="16"/>
        <v>677301</v>
      </c>
      <c r="P47" s="158">
        <f t="shared" si="17"/>
        <v>207254</v>
      </c>
      <c r="Q47" s="143">
        <f t="shared" si="18"/>
        <v>304785</v>
      </c>
      <c r="R47" s="143">
        <f t="shared" si="19"/>
        <v>154425</v>
      </c>
      <c r="S47" s="143">
        <f t="shared" si="20"/>
        <v>162552</v>
      </c>
      <c r="T47" s="158">
        <f t="shared" si="21"/>
        <v>621762</v>
      </c>
      <c r="U47" s="64">
        <v>12</v>
      </c>
      <c r="V47" s="84">
        <f>+Q47/3</f>
        <v>101595</v>
      </c>
      <c r="W47" s="84">
        <f t="shared" ref="W47:X47" si="24">+R47/3</f>
        <v>51475</v>
      </c>
      <c r="X47" s="84">
        <f t="shared" si="24"/>
        <v>54184</v>
      </c>
      <c r="Y47" s="64">
        <f t="shared" si="10"/>
        <v>12</v>
      </c>
      <c r="Z47" s="81">
        <f>+'[3]Tabla Homologada Enero-Nov.2013'!Q43</f>
        <v>54635</v>
      </c>
      <c r="AA47" s="82">
        <f t="shared" si="22"/>
        <v>163905</v>
      </c>
      <c r="AB47" s="83">
        <f t="shared" si="11"/>
        <v>655620</v>
      </c>
      <c r="AC47" s="7">
        <f>38+2</f>
        <v>40</v>
      </c>
      <c r="AD47" s="12"/>
      <c r="AI47" s="4"/>
    </row>
    <row r="48" spans="2:35" x14ac:dyDescent="0.2">
      <c r="B48" s="76">
        <v>13</v>
      </c>
      <c r="C48" s="77">
        <f>+N5</f>
        <v>297708</v>
      </c>
      <c r="D48" s="77">
        <f>+N7</f>
        <v>175570</v>
      </c>
      <c r="E48" s="11">
        <f t="shared" si="12"/>
        <v>2490.9368421052632</v>
      </c>
      <c r="F48" s="143">
        <f t="shared" si="13"/>
        <v>3113.6710526315792</v>
      </c>
      <c r="G48" s="143">
        <f t="shared" si="14"/>
        <v>3736.4052631578948</v>
      </c>
      <c r="H48" s="64">
        <f t="shared" si="15"/>
        <v>13</v>
      </c>
      <c r="I48" s="6"/>
      <c r="J48" s="64">
        <v>13</v>
      </c>
      <c r="K48" s="79">
        <f t="shared" si="6"/>
        <v>297708</v>
      </c>
      <c r="L48" s="79">
        <f t="shared" si="7"/>
        <v>175570</v>
      </c>
      <c r="M48" s="79">
        <f t="shared" si="8"/>
        <v>68390</v>
      </c>
      <c r="N48" s="79">
        <f t="shared" si="9"/>
        <v>49354</v>
      </c>
      <c r="O48" s="77">
        <f t="shared" si="16"/>
        <v>591022</v>
      </c>
      <c r="P48" s="158">
        <f t="shared" si="17"/>
        <v>180853</v>
      </c>
      <c r="Q48" s="143">
        <f t="shared" si="18"/>
        <v>265960</v>
      </c>
      <c r="R48" s="143">
        <f t="shared" si="19"/>
        <v>134753</v>
      </c>
      <c r="S48" s="143">
        <f t="shared" si="20"/>
        <v>141845</v>
      </c>
      <c r="T48" s="158">
        <f t="shared" si="21"/>
        <v>542558</v>
      </c>
      <c r="U48" s="64">
        <v>13</v>
      </c>
      <c r="V48" s="84"/>
      <c r="W48" s="84"/>
      <c r="X48" s="12"/>
      <c r="Y48" s="64">
        <f t="shared" si="10"/>
        <v>13</v>
      </c>
      <c r="Z48" s="81">
        <f>+'[3]Tabla Homologada Enero-Nov.2013'!Q44</f>
        <v>47568</v>
      </c>
      <c r="AA48" s="82">
        <f t="shared" si="22"/>
        <v>142704</v>
      </c>
      <c r="AB48" s="83">
        <f t="shared" si="11"/>
        <v>570816</v>
      </c>
      <c r="AC48" s="7">
        <f>32+2</f>
        <v>34</v>
      </c>
      <c r="AD48" s="12"/>
      <c r="AI48" s="4"/>
    </row>
    <row r="49" spans="2:35" x14ac:dyDescent="0.2">
      <c r="B49" s="76">
        <v>14</v>
      </c>
      <c r="C49" s="77">
        <f>+O5</f>
        <v>275610</v>
      </c>
      <c r="D49" s="77">
        <f>+O7</f>
        <v>132622</v>
      </c>
      <c r="E49" s="11">
        <f t="shared" si="12"/>
        <v>2148.5894736842106</v>
      </c>
      <c r="F49" s="143">
        <f t="shared" si="13"/>
        <v>2685.7368421052633</v>
      </c>
      <c r="G49" s="143">
        <f t="shared" si="14"/>
        <v>3222.8842105263157</v>
      </c>
      <c r="H49" s="64">
        <f t="shared" si="15"/>
        <v>14</v>
      </c>
      <c r="I49" s="6"/>
      <c r="J49" s="64">
        <v>14</v>
      </c>
      <c r="K49" s="79">
        <f t="shared" si="6"/>
        <v>275610</v>
      </c>
      <c r="L49" s="79">
        <f t="shared" si="7"/>
        <v>132622</v>
      </c>
      <c r="M49" s="79">
        <f t="shared" si="8"/>
        <v>67844</v>
      </c>
      <c r="N49" s="79">
        <f t="shared" si="9"/>
        <v>49354</v>
      </c>
      <c r="O49" s="77">
        <f t="shared" si="16"/>
        <v>525430</v>
      </c>
      <c r="P49" s="158">
        <f t="shared" si="17"/>
        <v>160782</v>
      </c>
      <c r="Q49" s="143">
        <f t="shared" si="18"/>
        <v>236444</v>
      </c>
      <c r="R49" s="143">
        <f t="shared" si="19"/>
        <v>119798</v>
      </c>
      <c r="S49" s="143">
        <f t="shared" si="20"/>
        <v>126103</v>
      </c>
      <c r="T49" s="158">
        <f t="shared" si="21"/>
        <v>482345</v>
      </c>
      <c r="U49" s="64">
        <v>14</v>
      </c>
      <c r="V49" s="84"/>
      <c r="W49" s="84"/>
      <c r="X49" s="12"/>
      <c r="Y49" s="64">
        <f t="shared" si="10"/>
        <v>14</v>
      </c>
      <c r="Z49" s="81">
        <f>+'[3]Tabla Homologada Enero-Nov.2013'!Q45</f>
        <v>42223</v>
      </c>
      <c r="AA49" s="82">
        <f t="shared" si="22"/>
        <v>126669</v>
      </c>
      <c r="AB49" s="83">
        <f t="shared" si="11"/>
        <v>506676</v>
      </c>
      <c r="AC49" s="7">
        <f>76+8</f>
        <v>84</v>
      </c>
      <c r="AD49" s="12"/>
      <c r="AI49" s="4"/>
    </row>
    <row r="50" spans="2:35" x14ac:dyDescent="0.2">
      <c r="B50" s="76">
        <v>15</v>
      </c>
      <c r="C50" s="77">
        <f>+P5</f>
        <v>255213</v>
      </c>
      <c r="D50" s="77">
        <f>+P7</f>
        <v>106524</v>
      </c>
      <c r="E50" s="11">
        <f t="shared" si="12"/>
        <v>1903.878947368421</v>
      </c>
      <c r="F50" s="143">
        <f t="shared" si="13"/>
        <v>2379.8486842105262</v>
      </c>
      <c r="G50" s="143">
        <f t="shared" si="14"/>
        <v>2855.8184210526315</v>
      </c>
      <c r="H50" s="64">
        <f t="shared" si="15"/>
        <v>15</v>
      </c>
      <c r="J50" s="64">
        <v>15</v>
      </c>
      <c r="K50" s="79">
        <f t="shared" si="6"/>
        <v>255213</v>
      </c>
      <c r="L50" s="79">
        <f t="shared" si="7"/>
        <v>106524</v>
      </c>
      <c r="M50" s="79">
        <f t="shared" si="8"/>
        <v>58424</v>
      </c>
      <c r="N50" s="79">
        <f t="shared" si="9"/>
        <v>49354</v>
      </c>
      <c r="O50" s="77">
        <f t="shared" si="16"/>
        <v>469515</v>
      </c>
      <c r="P50" s="158">
        <f t="shared" si="17"/>
        <v>143672</v>
      </c>
      <c r="Q50" s="143">
        <f t="shared" si="18"/>
        <v>211282</v>
      </c>
      <c r="R50" s="143">
        <f t="shared" si="19"/>
        <v>107049</v>
      </c>
      <c r="S50" s="143">
        <f t="shared" si="20"/>
        <v>112684</v>
      </c>
      <c r="T50" s="158">
        <f t="shared" si="21"/>
        <v>431015</v>
      </c>
      <c r="U50" s="64">
        <v>15</v>
      </c>
      <c r="V50" s="84">
        <f>+Q50/3</f>
        <v>70427.333333333328</v>
      </c>
      <c r="W50" s="84">
        <f t="shared" ref="W50" si="25">+R50/3</f>
        <v>35683</v>
      </c>
      <c r="X50" s="84">
        <f t="shared" ref="X50" si="26">+S50/3</f>
        <v>37561.333333333336</v>
      </c>
      <c r="Y50" s="64">
        <f t="shared" si="10"/>
        <v>15</v>
      </c>
      <c r="Z50" s="81">
        <f>+'[3]Tabla Homologada Enero-Nov.2013'!Q46</f>
        <v>37679</v>
      </c>
      <c r="AA50" s="82">
        <f t="shared" si="22"/>
        <v>113037</v>
      </c>
      <c r="AB50" s="83">
        <f t="shared" si="11"/>
        <v>452148</v>
      </c>
      <c r="AC50" s="7">
        <v>53</v>
      </c>
      <c r="AD50" s="12"/>
      <c r="AI50" s="4"/>
    </row>
    <row r="51" spans="2:35" x14ac:dyDescent="0.2">
      <c r="B51" s="76">
        <v>16</v>
      </c>
      <c r="C51" s="77">
        <f>+Q5</f>
        <v>236263</v>
      </c>
      <c r="D51" s="77">
        <f>+Q7</f>
        <v>104619</v>
      </c>
      <c r="E51" s="11">
        <f t="shared" si="12"/>
        <v>1794.1157894736841</v>
      </c>
      <c r="F51" s="143">
        <f t="shared" si="13"/>
        <v>2242.644736842105</v>
      </c>
      <c r="G51" s="143">
        <f t="shared" si="14"/>
        <v>2691.1736842105261</v>
      </c>
      <c r="H51" s="64">
        <f t="shared" si="15"/>
        <v>16</v>
      </c>
      <c r="I51" s="6"/>
      <c r="J51" s="64">
        <v>16</v>
      </c>
      <c r="K51" s="79">
        <f t="shared" si="6"/>
        <v>236263</v>
      </c>
      <c r="L51" s="79">
        <f t="shared" si="7"/>
        <v>104619</v>
      </c>
      <c r="M51" s="79">
        <f t="shared" si="8"/>
        <v>61554</v>
      </c>
      <c r="N51" s="79">
        <f t="shared" si="9"/>
        <v>49354</v>
      </c>
      <c r="O51" s="77">
        <f t="shared" si="16"/>
        <v>451790</v>
      </c>
      <c r="P51" s="158">
        <f t="shared" si="17"/>
        <v>138248</v>
      </c>
      <c r="Q51" s="143">
        <f t="shared" si="18"/>
        <v>203306</v>
      </c>
      <c r="R51" s="143">
        <f t="shared" si="19"/>
        <v>103008</v>
      </c>
      <c r="S51" s="143">
        <f t="shared" si="20"/>
        <v>108430</v>
      </c>
      <c r="T51" s="158">
        <f t="shared" si="21"/>
        <v>414744</v>
      </c>
      <c r="U51" s="64">
        <v>16</v>
      </c>
      <c r="V51" s="84"/>
      <c r="W51" s="84"/>
      <c r="X51" s="12"/>
      <c r="Y51" s="64">
        <f t="shared" si="10"/>
        <v>16</v>
      </c>
      <c r="Z51" s="81">
        <f>+'[3]Tabla Homologada Enero-Nov.2013'!Q47</f>
        <v>36285</v>
      </c>
      <c r="AA51" s="82">
        <f t="shared" si="22"/>
        <v>108855</v>
      </c>
      <c r="AB51" s="83">
        <f t="shared" si="11"/>
        <v>435420</v>
      </c>
      <c r="AC51" s="7">
        <f>44+15</f>
        <v>59</v>
      </c>
      <c r="AD51" s="12"/>
      <c r="AI51" s="4"/>
    </row>
    <row r="52" spans="2:35" x14ac:dyDescent="0.2">
      <c r="B52" s="76">
        <v>17</v>
      </c>
      <c r="C52" s="77">
        <f>+R5</f>
        <v>218770</v>
      </c>
      <c r="D52" s="77">
        <f>+R7</f>
        <v>80888</v>
      </c>
      <c r="E52" s="11">
        <f t="shared" si="12"/>
        <v>1577.1473684210525</v>
      </c>
      <c r="F52" s="143">
        <f t="shared" si="13"/>
        <v>1971.4342105263156</v>
      </c>
      <c r="G52" s="143">
        <f>+E52*1.5</f>
        <v>2365.7210526315789</v>
      </c>
      <c r="H52" s="64">
        <f t="shared" si="15"/>
        <v>17</v>
      </c>
      <c r="I52" s="6"/>
      <c r="J52" s="64">
        <v>17</v>
      </c>
      <c r="K52" s="79">
        <f t="shared" si="6"/>
        <v>218770</v>
      </c>
      <c r="L52" s="79">
        <f t="shared" si="7"/>
        <v>80888</v>
      </c>
      <c r="M52" s="79">
        <f t="shared" si="8"/>
        <v>57265</v>
      </c>
      <c r="N52" s="79">
        <f t="shared" si="9"/>
        <v>49354</v>
      </c>
      <c r="O52" s="77">
        <f t="shared" si="16"/>
        <v>406277</v>
      </c>
      <c r="P52" s="158">
        <f t="shared" si="17"/>
        <v>124321</v>
      </c>
      <c r="Q52" s="143">
        <f t="shared" si="18"/>
        <v>182825</v>
      </c>
      <c r="R52" s="143">
        <f t="shared" si="19"/>
        <v>92631</v>
      </c>
      <c r="S52" s="143">
        <f t="shared" si="20"/>
        <v>97506</v>
      </c>
      <c r="T52" s="158">
        <f t="shared" si="21"/>
        <v>372962</v>
      </c>
      <c r="U52" s="64">
        <v>17</v>
      </c>
      <c r="V52" s="84">
        <f>+T52-T51</f>
        <v>-41782</v>
      </c>
      <c r="W52" s="84"/>
      <c r="X52" s="12"/>
      <c r="Y52" s="64">
        <f t="shared" si="10"/>
        <v>17</v>
      </c>
      <c r="Z52" s="81">
        <f>+'[3]Tabla Homologada Enero-Nov.2013'!Q48</f>
        <v>32601</v>
      </c>
      <c r="AA52" s="82">
        <f t="shared" si="22"/>
        <v>97803</v>
      </c>
      <c r="AB52" s="83">
        <f t="shared" si="11"/>
        <v>391212</v>
      </c>
      <c r="AC52" s="7">
        <f>5+1</f>
        <v>6</v>
      </c>
      <c r="AD52" s="12"/>
      <c r="AI52" s="4"/>
    </row>
    <row r="53" spans="2:35" x14ac:dyDescent="0.2">
      <c r="B53" s="76">
        <v>18</v>
      </c>
      <c r="C53" s="77">
        <f>+S5</f>
        <v>202570</v>
      </c>
      <c r="D53" s="77">
        <f>+S7</f>
        <v>78335</v>
      </c>
      <c r="E53" s="11">
        <f t="shared" si="12"/>
        <v>1478.4473684210527</v>
      </c>
      <c r="F53" s="143">
        <f t="shared" si="13"/>
        <v>1848.0592105263158</v>
      </c>
      <c r="G53" s="143">
        <f t="shared" si="14"/>
        <v>2217.6710526315792</v>
      </c>
      <c r="H53" s="64">
        <f t="shared" si="15"/>
        <v>18</v>
      </c>
      <c r="J53" s="64">
        <v>18</v>
      </c>
      <c r="K53" s="79">
        <f t="shared" si="6"/>
        <v>202570</v>
      </c>
      <c r="L53" s="79">
        <f t="shared" si="7"/>
        <v>78335</v>
      </c>
      <c r="M53" s="79">
        <f t="shared" si="8"/>
        <v>57265</v>
      </c>
      <c r="N53" s="79">
        <f t="shared" si="9"/>
        <v>49354</v>
      </c>
      <c r="O53" s="77">
        <f t="shared" si="16"/>
        <v>387524</v>
      </c>
      <c r="P53" s="158">
        <f t="shared" si="17"/>
        <v>118582</v>
      </c>
      <c r="Q53" s="143">
        <f t="shared" si="18"/>
        <v>174386</v>
      </c>
      <c r="R53" s="143">
        <f t="shared" si="19"/>
        <v>88355</v>
      </c>
      <c r="S53" s="143">
        <f t="shared" si="20"/>
        <v>93006</v>
      </c>
      <c r="T53" s="158">
        <f t="shared" si="21"/>
        <v>355747</v>
      </c>
      <c r="U53" s="64">
        <v>18</v>
      </c>
      <c r="V53" s="84"/>
      <c r="W53" s="84"/>
      <c r="X53" s="12"/>
      <c r="Y53" s="64">
        <f t="shared" si="10"/>
        <v>18</v>
      </c>
      <c r="Z53" s="81">
        <f>+'[3]Tabla Homologada Enero-Nov.2013'!Q49</f>
        <v>31134</v>
      </c>
      <c r="AA53" s="82">
        <f t="shared" si="22"/>
        <v>93402</v>
      </c>
      <c r="AB53" s="83">
        <f t="shared" si="11"/>
        <v>373608</v>
      </c>
      <c r="AC53" s="7"/>
      <c r="AD53" s="12"/>
      <c r="AI53" s="4"/>
    </row>
    <row r="54" spans="2:35" x14ac:dyDescent="0.2">
      <c r="B54" s="76">
        <v>19</v>
      </c>
      <c r="C54" s="77">
        <f>+T5</f>
        <v>189322</v>
      </c>
      <c r="D54" s="77">
        <f>+T7</f>
        <v>85677</v>
      </c>
      <c r="E54" s="11">
        <f t="shared" si="12"/>
        <v>1447.3631578947368</v>
      </c>
      <c r="F54" s="143">
        <f>+E54*1.25</f>
        <v>1809.203947368421</v>
      </c>
      <c r="G54" s="143">
        <f t="shared" si="14"/>
        <v>2171.0447368421051</v>
      </c>
      <c r="H54" s="64">
        <f t="shared" si="15"/>
        <v>19</v>
      </c>
      <c r="I54" s="6"/>
      <c r="J54" s="64">
        <v>19</v>
      </c>
      <c r="K54" s="79">
        <f t="shared" si="6"/>
        <v>189322</v>
      </c>
      <c r="L54" s="79">
        <f t="shared" si="7"/>
        <v>85677</v>
      </c>
      <c r="M54" s="79">
        <f t="shared" si="8"/>
        <v>59688</v>
      </c>
      <c r="N54" s="79">
        <f t="shared" si="9"/>
        <v>49354</v>
      </c>
      <c r="O54" s="77">
        <f t="shared" si="16"/>
        <v>384041</v>
      </c>
      <c r="P54" s="158">
        <f t="shared" si="17"/>
        <v>117517</v>
      </c>
      <c r="Q54" s="143">
        <f t="shared" si="18"/>
        <v>172818</v>
      </c>
      <c r="R54" s="143">
        <f t="shared" si="19"/>
        <v>87561</v>
      </c>
      <c r="S54" s="143">
        <f t="shared" si="20"/>
        <v>92170</v>
      </c>
      <c r="T54" s="158">
        <f t="shared" si="21"/>
        <v>352549</v>
      </c>
      <c r="U54" s="64">
        <v>19</v>
      </c>
      <c r="V54" s="21"/>
      <c r="W54" s="21"/>
      <c r="Y54" s="64">
        <f t="shared" si="10"/>
        <v>19</v>
      </c>
      <c r="Z54" s="81">
        <f>+'[3]Tabla Homologada Enero-Nov.2013'!Q50</f>
        <v>30909</v>
      </c>
      <c r="AA54" s="82">
        <f t="shared" si="22"/>
        <v>92727</v>
      </c>
      <c r="AB54" s="83">
        <f t="shared" si="11"/>
        <v>370908</v>
      </c>
      <c r="AC54" s="7"/>
      <c r="AD54" s="12"/>
      <c r="AI54" s="4"/>
    </row>
    <row r="55" spans="2:35" x14ac:dyDescent="0.2">
      <c r="B55" s="64">
        <v>20</v>
      </c>
      <c r="C55" s="77">
        <f>+U5</f>
        <v>176945</v>
      </c>
      <c r="D55" s="77">
        <f>+U7</f>
        <v>67489</v>
      </c>
      <c r="E55" s="11">
        <f t="shared" si="12"/>
        <v>1286.4947368421053</v>
      </c>
      <c r="F55" s="143">
        <f>+E55*1.25</f>
        <v>1608.1184210526317</v>
      </c>
      <c r="G55" s="143">
        <f t="shared" si="14"/>
        <v>1929.742105263158</v>
      </c>
      <c r="H55" s="64">
        <f t="shared" si="15"/>
        <v>20</v>
      </c>
      <c r="J55" s="64">
        <v>20</v>
      </c>
      <c r="K55" s="79">
        <f t="shared" si="6"/>
        <v>176945</v>
      </c>
      <c r="L55" s="79">
        <f t="shared" si="7"/>
        <v>67489</v>
      </c>
      <c r="M55" s="79">
        <f t="shared" si="8"/>
        <v>57344</v>
      </c>
      <c r="N55" s="79">
        <f t="shared" si="9"/>
        <v>49354</v>
      </c>
      <c r="O55" s="77">
        <f>SUM(K55+L55+M55+N55)</f>
        <v>351132</v>
      </c>
      <c r="P55" s="158">
        <f t="shared" si="17"/>
        <v>107446</v>
      </c>
      <c r="Q55" s="143">
        <f t="shared" si="18"/>
        <v>158009</v>
      </c>
      <c r="R55" s="143">
        <f t="shared" si="19"/>
        <v>80058</v>
      </c>
      <c r="S55" s="143">
        <f t="shared" si="20"/>
        <v>84272</v>
      </c>
      <c r="T55" s="158">
        <f t="shared" si="21"/>
        <v>322339</v>
      </c>
      <c r="U55" s="64">
        <v>20</v>
      </c>
      <c r="V55" s="21"/>
      <c r="W55" s="21"/>
      <c r="Y55" s="60"/>
      <c r="Z55" s="86"/>
      <c r="AA55" s="82">
        <f t="shared" si="22"/>
        <v>0</v>
      </c>
      <c r="AB55" s="79">
        <f>Z55*12</f>
        <v>0</v>
      </c>
      <c r="AC55" s="7"/>
      <c r="AI55" s="4"/>
    </row>
    <row r="56" spans="2:35" x14ac:dyDescent="0.2">
      <c r="K56" s="5"/>
      <c r="L56" s="4"/>
      <c r="AI56" s="4"/>
    </row>
    <row r="57" spans="2:35" ht="12" thickBot="1" x14ac:dyDescent="0.25">
      <c r="I57" s="6"/>
      <c r="V57" s="12"/>
      <c r="W57" s="12"/>
      <c r="AG57" s="12"/>
      <c r="AH57" s="12"/>
    </row>
    <row r="58" spans="2:35" ht="12" thickBot="1" x14ac:dyDescent="0.25">
      <c r="F58" s="12"/>
      <c r="M58" s="87"/>
      <c r="N58" s="88"/>
      <c r="O58" s="88"/>
      <c r="P58" s="88"/>
      <c r="Q58" s="88"/>
      <c r="R58" s="88"/>
      <c r="S58" s="88"/>
      <c r="T58" s="89"/>
    </row>
    <row r="59" spans="2:35" ht="12" thickBot="1" x14ac:dyDescent="0.25">
      <c r="F59" s="12"/>
      <c r="G59" s="12"/>
      <c r="H59" s="12"/>
      <c r="I59" s="12"/>
      <c r="M59" s="90"/>
      <c r="N59" s="87"/>
      <c r="O59" s="88"/>
      <c r="P59" s="91"/>
      <c r="Q59" s="92">
        <v>0.5</v>
      </c>
      <c r="R59" s="93">
        <v>0.25</v>
      </c>
      <c r="S59" s="94">
        <v>0.25</v>
      </c>
      <c r="T59" s="95"/>
    </row>
    <row r="60" spans="2:35" ht="12" thickBot="1" x14ac:dyDescent="0.25">
      <c r="F60" s="12"/>
      <c r="G60" s="12"/>
      <c r="H60" s="12"/>
      <c r="I60" s="12"/>
      <c r="M60" s="90"/>
      <c r="N60" s="96"/>
      <c r="O60" s="97"/>
      <c r="P60" s="98">
        <v>2013</v>
      </c>
      <c r="Q60" s="99">
        <v>2014</v>
      </c>
      <c r="R60" s="100">
        <v>2015</v>
      </c>
      <c r="S60" s="101">
        <v>2016</v>
      </c>
      <c r="T60" s="102"/>
    </row>
    <row r="61" spans="2:35" x14ac:dyDescent="0.2">
      <c r="F61" s="12"/>
      <c r="G61" s="12"/>
      <c r="H61" s="12"/>
      <c r="I61" s="12"/>
      <c r="M61" s="90"/>
      <c r="N61" s="103" t="s">
        <v>34</v>
      </c>
      <c r="O61" s="97"/>
      <c r="P61" s="104">
        <v>0</v>
      </c>
      <c r="Q61" s="105">
        <v>0.1</v>
      </c>
      <c r="R61" s="106">
        <v>0.125</v>
      </c>
      <c r="S61" s="107">
        <v>0.15</v>
      </c>
      <c r="T61" s="102"/>
      <c r="V61" s="108"/>
    </row>
    <row r="62" spans="2:35" x14ac:dyDescent="0.2">
      <c r="F62" s="12"/>
      <c r="G62" s="12"/>
      <c r="H62" s="12"/>
      <c r="I62" s="12"/>
      <c r="M62" s="90"/>
      <c r="N62" s="103" t="s">
        <v>35</v>
      </c>
      <c r="O62" s="97"/>
      <c r="P62" s="104">
        <v>6</v>
      </c>
      <c r="Q62" s="105">
        <v>0.06</v>
      </c>
      <c r="R62" s="106">
        <v>6.8000000000000005E-2</v>
      </c>
      <c r="S62" s="107">
        <v>7.5999999999999998E-2</v>
      </c>
      <c r="T62" s="102"/>
      <c r="V62" s="108"/>
    </row>
    <row r="63" spans="2:35" ht="12" thickBot="1" x14ac:dyDescent="0.25">
      <c r="E63" s="6"/>
      <c r="F63" s="12"/>
      <c r="G63" s="12"/>
      <c r="H63" s="12"/>
      <c r="I63" s="12"/>
      <c r="L63" s="298"/>
      <c r="M63" s="90"/>
      <c r="N63" s="103" t="s">
        <v>36</v>
      </c>
      <c r="O63" s="97"/>
      <c r="P63" s="104">
        <v>4</v>
      </c>
      <c r="Q63" s="105">
        <v>0.04</v>
      </c>
      <c r="R63" s="106">
        <v>0.06</v>
      </c>
      <c r="S63" s="107">
        <v>0.08</v>
      </c>
      <c r="T63" s="102"/>
      <c r="V63" s="108"/>
    </row>
    <row r="64" spans="2:35" ht="12" thickBot="1" x14ac:dyDescent="0.25">
      <c r="D64" s="6"/>
      <c r="E64" s="6"/>
      <c r="F64" s="12"/>
      <c r="G64" s="12"/>
      <c r="H64" s="12"/>
      <c r="I64" s="12"/>
      <c r="L64" s="298"/>
      <c r="M64" s="90"/>
      <c r="N64" s="109" t="s">
        <v>37</v>
      </c>
      <c r="O64" s="110"/>
      <c r="P64" s="98">
        <f>SUM(P61:P63)</f>
        <v>10</v>
      </c>
      <c r="Q64" s="111">
        <f>SUM(Q61:Q63)</f>
        <v>0.2</v>
      </c>
      <c r="R64" s="112">
        <f>SUM(R61:R63)</f>
        <v>0.253</v>
      </c>
      <c r="S64" s="113">
        <f>SUM(S61:S63)</f>
        <v>0.30599999999999999</v>
      </c>
      <c r="T64" s="102"/>
      <c r="V64" s="108"/>
    </row>
    <row r="65" spans="2:38" ht="12" thickBot="1" x14ac:dyDescent="0.25">
      <c r="E65" s="6"/>
      <c r="F65" s="12"/>
      <c r="G65" s="12"/>
      <c r="H65" s="12"/>
      <c r="I65" s="12"/>
      <c r="L65" s="21"/>
      <c r="M65" s="90"/>
      <c r="N65" s="114"/>
      <c r="O65" s="115"/>
      <c r="P65" s="116" t="s">
        <v>38</v>
      </c>
      <c r="Q65" s="116">
        <v>10</v>
      </c>
      <c r="R65" s="116">
        <v>5.3</v>
      </c>
      <c r="S65" s="117">
        <v>5.3</v>
      </c>
      <c r="T65" s="118"/>
    </row>
    <row r="66" spans="2:38" ht="12" thickBot="1" x14ac:dyDescent="0.25">
      <c r="I66" s="12"/>
      <c r="L66" s="21"/>
      <c r="M66" s="114"/>
      <c r="N66" s="115"/>
      <c r="O66" s="115"/>
      <c r="P66" s="115"/>
      <c r="Q66" s="115"/>
      <c r="R66" s="115"/>
      <c r="S66" s="115"/>
      <c r="T66" s="119"/>
      <c r="AC66" s="120"/>
      <c r="AD66" s="120"/>
      <c r="AI66" s="4"/>
    </row>
    <row r="67" spans="2:38" x14ac:dyDescent="0.2">
      <c r="L67" s="21"/>
      <c r="AA67" s="121"/>
      <c r="AB67" s="108"/>
      <c r="AC67" s="108"/>
      <c r="AD67" s="108"/>
      <c r="AI67" s="4"/>
    </row>
    <row r="69" spans="2:38" x14ac:dyDescent="0.2">
      <c r="L69" s="4"/>
      <c r="O69" s="5"/>
      <c r="AI69" s="4"/>
      <c r="AL69" s="7"/>
    </row>
    <row r="70" spans="2:38" ht="14.25" customHeight="1" x14ac:dyDescent="0.2">
      <c r="B70" s="299" t="s">
        <v>15</v>
      </c>
      <c r="C70" s="296" t="str">
        <f>+A5</f>
        <v>SUELDO BASE</v>
      </c>
      <c r="D70" s="296" t="str">
        <f>+A7</f>
        <v>ASIG MUNICIPAL</v>
      </c>
      <c r="E70" s="296" t="s">
        <v>39</v>
      </c>
      <c r="F70" s="296" t="str">
        <f>+A8</f>
        <v xml:space="preserve">ASIG.ZONA </v>
      </c>
      <c r="G70" s="296" t="str">
        <f>+A9</f>
        <v>ART. 10 LEY 18675</v>
      </c>
      <c r="H70" s="296" t="str">
        <f>+A10</f>
        <v>Asig Unica Ley 18,717</v>
      </c>
      <c r="I70" s="296" t="str">
        <f>+A11</f>
        <v>Bonif.Salud Ley 18,566</v>
      </c>
      <c r="J70" s="296" t="str">
        <f>+A12</f>
        <v>LEY 19529</v>
      </c>
      <c r="K70" s="296" t="s">
        <v>40</v>
      </c>
      <c r="L70" s="289" t="s">
        <v>41</v>
      </c>
      <c r="M70" s="291" t="s">
        <v>42</v>
      </c>
      <c r="N70" s="289" t="s">
        <v>43</v>
      </c>
      <c r="O70" s="291" t="s">
        <v>44</v>
      </c>
      <c r="P70" s="289" t="s">
        <v>45</v>
      </c>
      <c r="Q70" s="291" t="s">
        <v>46</v>
      </c>
      <c r="AI70" s="4"/>
      <c r="AL70" s="7"/>
    </row>
    <row r="71" spans="2:38" ht="11.25" customHeight="1" x14ac:dyDescent="0.2">
      <c r="B71" s="299"/>
      <c r="C71" s="297"/>
      <c r="D71" s="297"/>
      <c r="E71" s="297"/>
      <c r="F71" s="297"/>
      <c r="G71" s="297"/>
      <c r="H71" s="297"/>
      <c r="I71" s="297"/>
      <c r="J71" s="297"/>
      <c r="K71" s="297"/>
      <c r="L71" s="290"/>
      <c r="M71" s="292"/>
      <c r="N71" s="290"/>
      <c r="O71" s="292"/>
      <c r="P71" s="290"/>
      <c r="Q71" s="292"/>
      <c r="AI71" s="4"/>
      <c r="AL71" s="7"/>
    </row>
    <row r="72" spans="2:38" x14ac:dyDescent="0.2">
      <c r="B72" s="76">
        <v>3</v>
      </c>
      <c r="C72" s="122">
        <f>+D5*1.025</f>
        <v>625751.22499999998</v>
      </c>
      <c r="D72" s="122">
        <f t="shared" ref="D72:D89" si="27">HLOOKUP($B72,Escala2014,5,0)</f>
        <v>1795002</v>
      </c>
      <c r="E72" s="122"/>
      <c r="F72" s="77">
        <f t="shared" ref="F72:F89" si="28">HLOOKUP($B72,Escala2014,6,0)</f>
        <v>170937</v>
      </c>
      <c r="G72" s="77">
        <f t="shared" ref="G72:G89" si="29">HLOOKUP($B72,Escala2014,7,0)</f>
        <v>209758</v>
      </c>
      <c r="H72" s="77">
        <f t="shared" ref="H72:H89" si="30">HLOOKUP($B72,Escala2014,8,0)</f>
        <v>18938</v>
      </c>
      <c r="I72" s="77">
        <f t="shared" ref="I72:I89" si="31">HLOOKUP($B72,Escala2014,9,0)</f>
        <v>95425</v>
      </c>
      <c r="J72" s="77">
        <f t="shared" ref="J72:J89" si="32">HLOOKUP($B72,Escala2014,10,0)</f>
        <v>25978</v>
      </c>
      <c r="K72" s="77">
        <f t="shared" ref="K72:K89" si="33">C72*0.02*L72</f>
        <v>37545.073499999999</v>
      </c>
      <c r="L72" s="123">
        <v>3</v>
      </c>
      <c r="M72" s="124">
        <f t="shared" ref="M72:M89" si="34">ROUND(SUM(C72:K72)/190,0)</f>
        <v>15681</v>
      </c>
      <c r="N72" s="125">
        <v>1</v>
      </c>
      <c r="O72" s="124">
        <f>+M72*N72</f>
        <v>15681</v>
      </c>
      <c r="P72" s="125">
        <v>2</v>
      </c>
      <c r="Q72" s="124">
        <f t="shared" ref="Q72:Q89" si="35">SUM(C72:K72)/30*P72</f>
        <v>198622.28656666668</v>
      </c>
      <c r="R72" s="12"/>
      <c r="AI72" s="4"/>
      <c r="AL72" s="7"/>
    </row>
    <row r="73" spans="2:38" x14ac:dyDescent="0.2">
      <c r="B73" s="76">
        <v>4</v>
      </c>
      <c r="C73" s="122">
        <f t="shared" ref="C73:C89" si="36">HLOOKUP(B73,Escala2014,3,0)</f>
        <v>575948</v>
      </c>
      <c r="D73" s="122">
        <f t="shared" si="27"/>
        <v>1741543</v>
      </c>
      <c r="E73" s="122"/>
      <c r="F73" s="77">
        <f t="shared" si="28"/>
        <v>161267</v>
      </c>
      <c r="G73" s="77">
        <f t="shared" si="29"/>
        <v>214637</v>
      </c>
      <c r="H73" s="77">
        <f t="shared" si="30"/>
        <v>18938</v>
      </c>
      <c r="I73" s="77">
        <f t="shared" si="31"/>
        <v>97945</v>
      </c>
      <c r="J73" s="77">
        <f t="shared" si="32"/>
        <v>25978</v>
      </c>
      <c r="K73" s="77">
        <f t="shared" si="33"/>
        <v>11518.960000000001</v>
      </c>
      <c r="L73" s="123">
        <v>1</v>
      </c>
      <c r="M73" s="124">
        <f t="shared" si="34"/>
        <v>14988</v>
      </c>
      <c r="N73" s="125">
        <v>1</v>
      </c>
      <c r="O73" s="124">
        <f t="shared" ref="O73:O89" si="37">+M73*N73</f>
        <v>14988</v>
      </c>
      <c r="P73" s="125">
        <v>2</v>
      </c>
      <c r="Q73" s="124">
        <f t="shared" si="35"/>
        <v>189851.66399999999</v>
      </c>
      <c r="AI73" s="4"/>
      <c r="AL73" s="7"/>
    </row>
    <row r="74" spans="2:38" x14ac:dyDescent="0.2">
      <c r="B74" s="76">
        <v>5</v>
      </c>
      <c r="C74" s="122">
        <f t="shared" si="36"/>
        <v>543368</v>
      </c>
      <c r="D74" s="122">
        <f t="shared" si="27"/>
        <v>1496816</v>
      </c>
      <c r="E74" s="122"/>
      <c r="F74" s="77">
        <f t="shared" si="28"/>
        <v>152143</v>
      </c>
      <c r="G74" s="77">
        <f t="shared" si="29"/>
        <v>219536</v>
      </c>
      <c r="H74" s="77">
        <f t="shared" si="30"/>
        <v>18938</v>
      </c>
      <c r="I74" s="77">
        <f t="shared" si="31"/>
        <v>100508</v>
      </c>
      <c r="J74" s="77">
        <f t="shared" si="32"/>
        <v>25978</v>
      </c>
      <c r="K74" s="77">
        <f t="shared" si="33"/>
        <v>10867.36</v>
      </c>
      <c r="L74" s="123">
        <v>1</v>
      </c>
      <c r="M74" s="124">
        <f t="shared" si="34"/>
        <v>13517</v>
      </c>
      <c r="N74" s="125">
        <v>1</v>
      </c>
      <c r="O74" s="124">
        <f t="shared" si="37"/>
        <v>13517</v>
      </c>
      <c r="P74" s="125">
        <v>2</v>
      </c>
      <c r="Q74" s="124">
        <f t="shared" si="35"/>
        <v>171210.29066666667</v>
      </c>
      <c r="AI74" s="4"/>
      <c r="AL74" s="7"/>
    </row>
    <row r="75" spans="2:38" x14ac:dyDescent="0.2">
      <c r="B75" s="76">
        <v>6</v>
      </c>
      <c r="C75" s="122">
        <f t="shared" si="36"/>
        <v>512571</v>
      </c>
      <c r="D75" s="122">
        <f t="shared" si="27"/>
        <v>1264924</v>
      </c>
      <c r="E75" s="122"/>
      <c r="F75" s="77">
        <f t="shared" si="28"/>
        <v>143519</v>
      </c>
      <c r="G75" s="77">
        <f t="shared" si="29"/>
        <v>245390</v>
      </c>
      <c r="H75" s="77">
        <f t="shared" si="30"/>
        <v>18938</v>
      </c>
      <c r="I75" s="77">
        <f t="shared" si="31"/>
        <v>93513</v>
      </c>
      <c r="J75" s="77">
        <f t="shared" si="32"/>
        <v>29873</v>
      </c>
      <c r="K75" s="77">
        <f t="shared" si="33"/>
        <v>10251.42</v>
      </c>
      <c r="L75" s="123">
        <v>1</v>
      </c>
      <c r="M75" s="124">
        <f t="shared" si="34"/>
        <v>12205</v>
      </c>
      <c r="N75" s="125">
        <v>1</v>
      </c>
      <c r="O75" s="124">
        <f t="shared" si="37"/>
        <v>12205</v>
      </c>
      <c r="P75" s="125">
        <v>2</v>
      </c>
      <c r="Q75" s="124">
        <f t="shared" si="35"/>
        <v>154598.628</v>
      </c>
      <c r="AI75" s="4"/>
      <c r="AL75" s="7"/>
    </row>
    <row r="76" spans="2:38" x14ac:dyDescent="0.2">
      <c r="B76" s="76">
        <v>7</v>
      </c>
      <c r="C76" s="122">
        <f t="shared" si="36"/>
        <v>472464</v>
      </c>
      <c r="D76" s="122">
        <f t="shared" si="27"/>
        <v>948600</v>
      </c>
      <c r="E76" s="122"/>
      <c r="F76" s="77">
        <f t="shared" si="28"/>
        <v>132290</v>
      </c>
      <c r="G76" s="77">
        <f t="shared" si="29"/>
        <v>169214</v>
      </c>
      <c r="H76" s="77">
        <f t="shared" si="30"/>
        <v>18938</v>
      </c>
      <c r="I76" s="77">
        <f t="shared" si="31"/>
        <v>69742</v>
      </c>
      <c r="J76" s="77">
        <f t="shared" si="32"/>
        <v>29873</v>
      </c>
      <c r="K76" s="77">
        <f t="shared" si="33"/>
        <v>18898.560000000001</v>
      </c>
      <c r="L76" s="123">
        <v>2</v>
      </c>
      <c r="M76" s="124">
        <f t="shared" si="34"/>
        <v>9790</v>
      </c>
      <c r="N76" s="125">
        <v>3</v>
      </c>
      <c r="O76" s="124">
        <f t="shared" si="37"/>
        <v>29370</v>
      </c>
      <c r="P76" s="125">
        <v>0</v>
      </c>
      <c r="Q76" s="124">
        <f t="shared" si="35"/>
        <v>0</v>
      </c>
      <c r="AI76" s="4"/>
      <c r="AL76" s="7"/>
    </row>
    <row r="77" spans="2:38" x14ac:dyDescent="0.2">
      <c r="B77" s="76">
        <v>8</v>
      </c>
      <c r="C77" s="122">
        <f t="shared" si="36"/>
        <v>437429</v>
      </c>
      <c r="D77" s="122">
        <f t="shared" si="27"/>
        <v>728328</v>
      </c>
      <c r="E77" s="122"/>
      <c r="F77" s="77">
        <f t="shared" si="28"/>
        <v>122480</v>
      </c>
      <c r="G77" s="77">
        <f t="shared" si="29"/>
        <v>129068</v>
      </c>
      <c r="H77" s="77">
        <f t="shared" si="30"/>
        <v>18938</v>
      </c>
      <c r="I77" s="77">
        <f t="shared" si="31"/>
        <v>53212</v>
      </c>
      <c r="J77" s="77">
        <f t="shared" si="32"/>
        <v>29873</v>
      </c>
      <c r="K77" s="77">
        <f t="shared" si="33"/>
        <v>0</v>
      </c>
      <c r="L77" s="123">
        <v>0</v>
      </c>
      <c r="M77" s="124">
        <f t="shared" si="34"/>
        <v>7996</v>
      </c>
      <c r="N77" s="125">
        <v>5</v>
      </c>
      <c r="O77" s="124">
        <f t="shared" si="37"/>
        <v>39980</v>
      </c>
      <c r="P77" s="125">
        <v>2</v>
      </c>
      <c r="Q77" s="124">
        <f t="shared" si="35"/>
        <v>101288.53333333334</v>
      </c>
      <c r="AI77" s="4"/>
      <c r="AL77" s="7"/>
    </row>
    <row r="78" spans="2:38" x14ac:dyDescent="0.2">
      <c r="B78" s="76">
        <v>9</v>
      </c>
      <c r="C78" s="122">
        <f t="shared" si="36"/>
        <v>404987</v>
      </c>
      <c r="D78" s="122">
        <f t="shared" si="27"/>
        <v>559632</v>
      </c>
      <c r="E78" s="122">
        <v>100050</v>
      </c>
      <c r="F78" s="77">
        <f t="shared" si="28"/>
        <v>113396</v>
      </c>
      <c r="G78" s="77">
        <f t="shared" si="29"/>
        <v>98402</v>
      </c>
      <c r="H78" s="77">
        <f t="shared" si="30"/>
        <v>18938</v>
      </c>
      <c r="I78" s="77">
        <f t="shared" si="31"/>
        <v>40562</v>
      </c>
      <c r="J78" s="77">
        <f t="shared" si="32"/>
        <v>29873</v>
      </c>
      <c r="K78" s="77">
        <f t="shared" si="33"/>
        <v>0</v>
      </c>
      <c r="L78" s="123"/>
      <c r="M78" s="124">
        <f t="shared" si="34"/>
        <v>7189</v>
      </c>
      <c r="N78" s="125">
        <v>5</v>
      </c>
      <c r="O78" s="124">
        <f>+M78*N78</f>
        <v>35945</v>
      </c>
      <c r="P78" s="125">
        <v>2</v>
      </c>
      <c r="Q78" s="124">
        <f t="shared" si="35"/>
        <v>91056</v>
      </c>
      <c r="AI78" s="4"/>
      <c r="AL78" s="7"/>
    </row>
    <row r="79" spans="2:38" x14ac:dyDescent="0.2">
      <c r="B79" s="76">
        <v>10</v>
      </c>
      <c r="C79" s="122">
        <f t="shared" si="36"/>
        <v>375015</v>
      </c>
      <c r="D79" s="122">
        <f t="shared" si="27"/>
        <v>423020</v>
      </c>
      <c r="E79" s="122"/>
      <c r="F79" s="77">
        <f t="shared" si="28"/>
        <v>105004</v>
      </c>
      <c r="G79" s="77">
        <f t="shared" si="29"/>
        <v>73541</v>
      </c>
      <c r="H79" s="77">
        <f t="shared" si="30"/>
        <v>18938</v>
      </c>
      <c r="I79" s="77">
        <f t="shared" si="31"/>
        <v>30336</v>
      </c>
      <c r="J79" s="77">
        <f t="shared" si="32"/>
        <v>29873</v>
      </c>
      <c r="K79" s="77">
        <f t="shared" si="33"/>
        <v>0</v>
      </c>
      <c r="L79" s="123"/>
      <c r="M79" s="124">
        <f t="shared" si="34"/>
        <v>5556</v>
      </c>
      <c r="N79" s="125"/>
      <c r="O79" s="124">
        <f t="shared" si="37"/>
        <v>0</v>
      </c>
      <c r="P79" s="125">
        <v>2</v>
      </c>
      <c r="Q79" s="124">
        <f t="shared" si="35"/>
        <v>70381.8</v>
      </c>
      <c r="AI79" s="4"/>
      <c r="AL79" s="7"/>
    </row>
    <row r="80" spans="2:38" x14ac:dyDescent="0.2">
      <c r="B80" s="76">
        <v>11</v>
      </c>
      <c r="C80" s="122">
        <f t="shared" si="36"/>
        <v>347260</v>
      </c>
      <c r="D80" s="122">
        <f t="shared" si="27"/>
        <v>319639</v>
      </c>
      <c r="E80" s="122"/>
      <c r="F80" s="77">
        <f t="shared" si="28"/>
        <v>97233</v>
      </c>
      <c r="G80" s="77">
        <f t="shared" si="29"/>
        <v>54814</v>
      </c>
      <c r="H80" s="77">
        <f t="shared" si="30"/>
        <v>18938</v>
      </c>
      <c r="I80" s="77">
        <f t="shared" si="31"/>
        <v>22581</v>
      </c>
      <c r="J80" s="77">
        <f t="shared" si="32"/>
        <v>29873</v>
      </c>
      <c r="K80" s="77">
        <f t="shared" si="33"/>
        <v>6945.2</v>
      </c>
      <c r="L80" s="123">
        <v>1</v>
      </c>
      <c r="M80" s="124">
        <f t="shared" si="34"/>
        <v>4723</v>
      </c>
      <c r="N80" s="125">
        <v>3</v>
      </c>
      <c r="O80" s="124">
        <f t="shared" si="37"/>
        <v>14169</v>
      </c>
      <c r="P80" s="125">
        <v>2</v>
      </c>
      <c r="Q80" s="124">
        <f t="shared" si="35"/>
        <v>59818.879999999997</v>
      </c>
      <c r="AI80" s="4"/>
      <c r="AL80" s="7"/>
    </row>
    <row r="81" spans="2:38" x14ac:dyDescent="0.2">
      <c r="B81" s="76">
        <v>12</v>
      </c>
      <c r="C81" s="122">
        <f t="shared" si="36"/>
        <v>321537</v>
      </c>
      <c r="D81" s="122">
        <f t="shared" si="27"/>
        <v>235935</v>
      </c>
      <c r="E81" s="122"/>
      <c r="F81" s="77">
        <f t="shared" si="28"/>
        <v>90031</v>
      </c>
      <c r="G81" s="77">
        <f t="shared" si="29"/>
        <v>46358</v>
      </c>
      <c r="H81" s="77">
        <f t="shared" si="30"/>
        <v>70475</v>
      </c>
      <c r="I81" s="77">
        <f t="shared" si="31"/>
        <v>18037</v>
      </c>
      <c r="J81" s="77">
        <f t="shared" si="32"/>
        <v>49354</v>
      </c>
      <c r="K81" s="77">
        <f t="shared" si="33"/>
        <v>0</v>
      </c>
      <c r="L81" s="123"/>
      <c r="M81" s="124">
        <f t="shared" si="34"/>
        <v>4378</v>
      </c>
      <c r="N81" s="125"/>
      <c r="O81" s="124">
        <f t="shared" si="37"/>
        <v>0</v>
      </c>
      <c r="P81" s="125">
        <v>2</v>
      </c>
      <c r="Q81" s="124">
        <f t="shared" si="35"/>
        <v>55448.466666666667</v>
      </c>
      <c r="AI81" s="4"/>
      <c r="AL81" s="7"/>
    </row>
    <row r="82" spans="2:38" x14ac:dyDescent="0.2">
      <c r="B82" s="76">
        <v>13</v>
      </c>
      <c r="C82" s="122">
        <f t="shared" si="36"/>
        <v>297708</v>
      </c>
      <c r="D82" s="122">
        <f t="shared" si="27"/>
        <v>175570</v>
      </c>
      <c r="E82" s="122"/>
      <c r="F82" s="77">
        <f t="shared" si="28"/>
        <v>83358</v>
      </c>
      <c r="G82" s="77">
        <f t="shared" si="29"/>
        <v>34224</v>
      </c>
      <c r="H82" s="77">
        <f t="shared" si="30"/>
        <v>68390</v>
      </c>
      <c r="I82" s="77">
        <f t="shared" si="31"/>
        <v>13016</v>
      </c>
      <c r="J82" s="77">
        <f t="shared" si="32"/>
        <v>49354</v>
      </c>
      <c r="K82" s="77">
        <f t="shared" si="33"/>
        <v>0</v>
      </c>
      <c r="L82" s="123"/>
      <c r="M82" s="124">
        <f t="shared" si="34"/>
        <v>3798</v>
      </c>
      <c r="N82" s="125"/>
      <c r="O82" s="124">
        <f t="shared" si="37"/>
        <v>0</v>
      </c>
      <c r="P82" s="125">
        <v>2</v>
      </c>
      <c r="Q82" s="124">
        <f t="shared" si="35"/>
        <v>48108</v>
      </c>
      <c r="AI82" s="4"/>
      <c r="AL82" s="7"/>
    </row>
    <row r="83" spans="2:38" x14ac:dyDescent="0.2">
      <c r="B83" s="76">
        <v>14</v>
      </c>
      <c r="C83" s="122">
        <f t="shared" si="36"/>
        <v>275610</v>
      </c>
      <c r="D83" s="122">
        <f t="shared" si="27"/>
        <v>132622</v>
      </c>
      <c r="E83" s="122"/>
      <c r="F83" s="77">
        <f t="shared" si="28"/>
        <v>77171</v>
      </c>
      <c r="G83" s="77">
        <f t="shared" si="29"/>
        <v>25805</v>
      </c>
      <c r="H83" s="77">
        <f t="shared" si="30"/>
        <v>67844</v>
      </c>
      <c r="I83" s="77">
        <f t="shared" si="31"/>
        <v>9622</v>
      </c>
      <c r="J83" s="77">
        <f t="shared" si="32"/>
        <v>49354</v>
      </c>
      <c r="K83" s="77">
        <f t="shared" si="33"/>
        <v>0</v>
      </c>
      <c r="L83" s="123"/>
      <c r="M83" s="124">
        <f t="shared" si="34"/>
        <v>3358</v>
      </c>
      <c r="N83" s="125"/>
      <c r="O83" s="124">
        <f t="shared" si="37"/>
        <v>0</v>
      </c>
      <c r="P83" s="125">
        <v>2</v>
      </c>
      <c r="Q83" s="124">
        <f t="shared" si="35"/>
        <v>42535.199999999997</v>
      </c>
      <c r="AI83" s="4"/>
      <c r="AL83" s="7"/>
    </row>
    <row r="84" spans="2:38" x14ac:dyDescent="0.2">
      <c r="B84" s="76">
        <v>15</v>
      </c>
      <c r="C84" s="122">
        <f t="shared" si="36"/>
        <v>255213</v>
      </c>
      <c r="D84" s="122">
        <f t="shared" si="27"/>
        <v>106524</v>
      </c>
      <c r="E84" s="122"/>
      <c r="F84" s="77">
        <f t="shared" si="28"/>
        <v>71460</v>
      </c>
      <c r="G84" s="77">
        <f t="shared" si="29"/>
        <v>20013</v>
      </c>
      <c r="H84" s="77">
        <f t="shared" si="30"/>
        <v>58424</v>
      </c>
      <c r="I84" s="77">
        <f t="shared" si="31"/>
        <v>7529</v>
      </c>
      <c r="J84" s="77">
        <f t="shared" si="32"/>
        <v>49354</v>
      </c>
      <c r="K84" s="77">
        <f t="shared" si="33"/>
        <v>0</v>
      </c>
      <c r="L84" s="123"/>
      <c r="M84" s="124">
        <f t="shared" si="34"/>
        <v>2992</v>
      </c>
      <c r="N84" s="125"/>
      <c r="O84" s="124">
        <f t="shared" si="37"/>
        <v>0</v>
      </c>
      <c r="P84" s="125">
        <v>2</v>
      </c>
      <c r="Q84" s="124">
        <f t="shared" si="35"/>
        <v>37901.133333333331</v>
      </c>
      <c r="AI84" s="4"/>
      <c r="AL84" s="7"/>
    </row>
    <row r="85" spans="2:38" x14ac:dyDescent="0.2">
      <c r="B85" s="76">
        <v>16</v>
      </c>
      <c r="C85" s="122">
        <f t="shared" si="36"/>
        <v>236263</v>
      </c>
      <c r="D85" s="122">
        <f t="shared" si="27"/>
        <v>104619</v>
      </c>
      <c r="E85" s="122"/>
      <c r="F85" s="77">
        <f t="shared" si="28"/>
        <v>66154</v>
      </c>
      <c r="G85" s="77">
        <f t="shared" si="29"/>
        <v>19491</v>
      </c>
      <c r="H85" s="77">
        <f t="shared" si="30"/>
        <v>61554</v>
      </c>
      <c r="I85" s="77">
        <f t="shared" si="31"/>
        <v>7314</v>
      </c>
      <c r="J85" s="77">
        <f t="shared" si="32"/>
        <v>49354</v>
      </c>
      <c r="K85" s="77">
        <f t="shared" si="33"/>
        <v>0</v>
      </c>
      <c r="L85" s="123"/>
      <c r="M85" s="124">
        <f t="shared" si="34"/>
        <v>2867</v>
      </c>
      <c r="N85" s="125">
        <v>4</v>
      </c>
      <c r="O85" s="124">
        <f t="shared" si="37"/>
        <v>11468</v>
      </c>
      <c r="P85" s="125">
        <v>1</v>
      </c>
      <c r="Q85" s="124">
        <f t="shared" si="35"/>
        <v>18158.3</v>
      </c>
      <c r="AI85" s="4"/>
      <c r="AL85" s="7"/>
    </row>
    <row r="86" spans="2:38" x14ac:dyDescent="0.2">
      <c r="B86" s="76">
        <v>17</v>
      </c>
      <c r="C86" s="122">
        <f t="shared" si="36"/>
        <v>218770</v>
      </c>
      <c r="D86" s="122">
        <f t="shared" si="27"/>
        <v>80888</v>
      </c>
      <c r="E86" s="122"/>
      <c r="F86" s="77">
        <f t="shared" si="28"/>
        <v>61255</v>
      </c>
      <c r="G86" s="77">
        <f t="shared" si="29"/>
        <v>14046</v>
      </c>
      <c r="H86" s="77">
        <f t="shared" si="30"/>
        <v>57265</v>
      </c>
      <c r="I86" s="77">
        <f t="shared" si="31"/>
        <v>5245</v>
      </c>
      <c r="J86" s="77">
        <f t="shared" si="32"/>
        <v>49354</v>
      </c>
      <c r="K86" s="77">
        <f t="shared" si="33"/>
        <v>0</v>
      </c>
      <c r="L86" s="123"/>
      <c r="M86" s="124">
        <f t="shared" si="34"/>
        <v>2562</v>
      </c>
      <c r="N86" s="125"/>
      <c r="O86" s="124">
        <f t="shared" si="37"/>
        <v>0</v>
      </c>
      <c r="P86" s="125">
        <v>2</v>
      </c>
      <c r="Q86" s="124">
        <f t="shared" si="35"/>
        <v>32454.866666666665</v>
      </c>
      <c r="AI86" s="4"/>
      <c r="AL86" s="7"/>
    </row>
    <row r="87" spans="2:38" x14ac:dyDescent="0.2">
      <c r="B87" s="76">
        <v>18</v>
      </c>
      <c r="C87" s="122">
        <f t="shared" si="36"/>
        <v>202570</v>
      </c>
      <c r="D87" s="122">
        <f t="shared" si="27"/>
        <v>78335</v>
      </c>
      <c r="E87" s="122"/>
      <c r="F87" s="77">
        <f t="shared" si="28"/>
        <v>56720</v>
      </c>
      <c r="G87" s="77">
        <f t="shared" si="29"/>
        <v>12844</v>
      </c>
      <c r="H87" s="77">
        <f t="shared" si="30"/>
        <v>57265</v>
      </c>
      <c r="I87" s="77">
        <f t="shared" si="31"/>
        <v>4741</v>
      </c>
      <c r="J87" s="77">
        <f t="shared" si="32"/>
        <v>49354</v>
      </c>
      <c r="K87" s="77">
        <f t="shared" si="33"/>
        <v>0</v>
      </c>
      <c r="L87" s="123"/>
      <c r="M87" s="124">
        <f t="shared" si="34"/>
        <v>2431</v>
      </c>
      <c r="N87" s="125"/>
      <c r="O87" s="124">
        <f t="shared" si="37"/>
        <v>0</v>
      </c>
      <c r="P87" s="125">
        <v>2</v>
      </c>
      <c r="Q87" s="124">
        <f t="shared" si="35"/>
        <v>30788.6</v>
      </c>
      <c r="AI87" s="4"/>
      <c r="AL87" s="7"/>
    </row>
    <row r="88" spans="2:38" x14ac:dyDescent="0.2">
      <c r="B88" s="76">
        <v>19</v>
      </c>
      <c r="C88" s="122">
        <f t="shared" si="36"/>
        <v>189322</v>
      </c>
      <c r="D88" s="122">
        <f t="shared" si="27"/>
        <v>85677</v>
      </c>
      <c r="E88" s="122"/>
      <c r="F88" s="77">
        <f t="shared" si="28"/>
        <v>53011</v>
      </c>
      <c r="G88" s="77">
        <f t="shared" si="29"/>
        <v>13022</v>
      </c>
      <c r="H88" s="77">
        <f t="shared" si="30"/>
        <v>59688</v>
      </c>
      <c r="I88" s="77">
        <f t="shared" si="31"/>
        <v>4817</v>
      </c>
      <c r="J88" s="77">
        <f t="shared" si="32"/>
        <v>49354</v>
      </c>
      <c r="K88" s="77">
        <f t="shared" si="33"/>
        <v>0</v>
      </c>
      <c r="L88" s="123"/>
      <c r="M88" s="124">
        <f t="shared" si="34"/>
        <v>2394</v>
      </c>
      <c r="N88" s="125"/>
      <c r="O88" s="124">
        <f t="shared" si="37"/>
        <v>0</v>
      </c>
      <c r="P88" s="125">
        <v>2</v>
      </c>
      <c r="Q88" s="124">
        <f t="shared" si="35"/>
        <v>30326.066666666666</v>
      </c>
      <c r="AI88" s="4"/>
      <c r="AL88" s="7"/>
    </row>
    <row r="89" spans="2:38" x14ac:dyDescent="0.2">
      <c r="B89" s="64">
        <v>20</v>
      </c>
      <c r="C89" s="122">
        <f t="shared" si="36"/>
        <v>176945</v>
      </c>
      <c r="D89" s="122">
        <f t="shared" si="27"/>
        <v>67489</v>
      </c>
      <c r="E89" s="122"/>
      <c r="F89" s="77">
        <f t="shared" si="28"/>
        <v>49544</v>
      </c>
      <c r="G89" s="77">
        <f t="shared" si="29"/>
        <v>8790</v>
      </c>
      <c r="H89" s="77">
        <f t="shared" si="30"/>
        <v>57344</v>
      </c>
      <c r="I89" s="77">
        <f t="shared" si="31"/>
        <v>3137</v>
      </c>
      <c r="J89" s="77">
        <f t="shared" si="32"/>
        <v>49354</v>
      </c>
      <c r="K89" s="77">
        <f t="shared" si="33"/>
        <v>0</v>
      </c>
      <c r="L89" s="123"/>
      <c r="M89" s="124">
        <f t="shared" si="34"/>
        <v>2172</v>
      </c>
      <c r="N89" s="125"/>
      <c r="O89" s="124">
        <f t="shared" si="37"/>
        <v>0</v>
      </c>
      <c r="P89" s="125">
        <v>2</v>
      </c>
      <c r="Q89" s="124">
        <f t="shared" si="35"/>
        <v>27506.866666666665</v>
      </c>
      <c r="AI89" s="4"/>
      <c r="AL89" s="7"/>
    </row>
    <row r="90" spans="2:38" x14ac:dyDescent="0.2">
      <c r="L90" s="4"/>
      <c r="O90" s="5"/>
      <c r="AI90" s="4"/>
      <c r="AL90" s="7"/>
    </row>
    <row r="91" spans="2:38" x14ac:dyDescent="0.2">
      <c r="L91" s="4"/>
      <c r="M91" s="5"/>
      <c r="AI91" s="4"/>
      <c r="AJ91" s="7"/>
    </row>
    <row r="94" spans="2:38" x14ac:dyDescent="0.2">
      <c r="H94" s="12"/>
    </row>
    <row r="95" spans="2:38" ht="12" thickBot="1" x14ac:dyDescent="0.25">
      <c r="B95" s="19">
        <v>2016</v>
      </c>
      <c r="H95" s="12"/>
    </row>
    <row r="96" spans="2:38" ht="12" thickBot="1" x14ac:dyDescent="0.25">
      <c r="B96" s="293" t="s">
        <v>47</v>
      </c>
      <c r="C96" s="294"/>
      <c r="D96" s="294"/>
      <c r="E96" s="295"/>
      <c r="G96" s="316">
        <v>2017</v>
      </c>
      <c r="H96" s="317"/>
    </row>
    <row r="97" spans="2:8" x14ac:dyDescent="0.2">
      <c r="B97" s="126">
        <v>3</v>
      </c>
      <c r="C97" s="127">
        <v>473251</v>
      </c>
      <c r="D97" s="127">
        <f>ROUND(C97*0.34,0)</f>
        <v>160905</v>
      </c>
      <c r="E97" s="128">
        <f>+D97*4</f>
        <v>643620</v>
      </c>
      <c r="G97" s="126">
        <v>3</v>
      </c>
      <c r="H97" s="182">
        <f>ROUND(C97*1.032,0)</f>
        <v>488395</v>
      </c>
    </row>
    <row r="98" spans="2:8" x14ac:dyDescent="0.2">
      <c r="B98" s="129">
        <v>4</v>
      </c>
      <c r="C98" s="130">
        <v>446468</v>
      </c>
      <c r="D98" s="130">
        <f t="shared" ref="D98:D106" si="38">ROUND(C98*0.34,0)</f>
        <v>151799</v>
      </c>
      <c r="E98" s="131">
        <f t="shared" ref="E98:E106" si="39">+D98*4</f>
        <v>607196</v>
      </c>
      <c r="G98" s="129">
        <v>4</v>
      </c>
      <c r="H98" s="183">
        <f t="shared" ref="H98:H106" si="40">ROUND(C98*1.032,0)</f>
        <v>460755</v>
      </c>
    </row>
    <row r="99" spans="2:8" x14ac:dyDescent="0.2">
      <c r="B99" s="129">
        <v>5</v>
      </c>
      <c r="C99" s="130">
        <v>445021</v>
      </c>
      <c r="D99" s="130">
        <f t="shared" si="38"/>
        <v>151307</v>
      </c>
      <c r="E99" s="131">
        <f t="shared" si="39"/>
        <v>605228</v>
      </c>
      <c r="G99" s="129">
        <v>5</v>
      </c>
      <c r="H99" s="183">
        <f t="shared" si="40"/>
        <v>459262</v>
      </c>
    </row>
    <row r="100" spans="2:8" x14ac:dyDescent="0.2">
      <c r="B100" s="129">
        <v>6</v>
      </c>
      <c r="C100" s="130">
        <v>397337</v>
      </c>
      <c r="D100" s="130">
        <f t="shared" si="38"/>
        <v>135095</v>
      </c>
      <c r="E100" s="131">
        <f t="shared" si="39"/>
        <v>540380</v>
      </c>
      <c r="G100" s="129">
        <v>6</v>
      </c>
      <c r="H100" s="183">
        <f t="shared" si="40"/>
        <v>410052</v>
      </c>
    </row>
    <row r="101" spans="2:8" x14ac:dyDescent="0.2">
      <c r="B101" s="129">
        <v>7</v>
      </c>
      <c r="C101" s="130">
        <v>362557</v>
      </c>
      <c r="D101" s="130">
        <f t="shared" si="38"/>
        <v>123269</v>
      </c>
      <c r="E101" s="131">
        <f t="shared" si="39"/>
        <v>493076</v>
      </c>
      <c r="G101" s="129">
        <v>7</v>
      </c>
      <c r="H101" s="183">
        <f t="shared" si="40"/>
        <v>374159</v>
      </c>
    </row>
    <row r="102" spans="2:8" x14ac:dyDescent="0.2">
      <c r="B102" s="129">
        <v>8</v>
      </c>
      <c r="C102" s="130">
        <v>325172</v>
      </c>
      <c r="D102" s="130">
        <f t="shared" si="38"/>
        <v>110558</v>
      </c>
      <c r="E102" s="131">
        <f t="shared" si="39"/>
        <v>442232</v>
      </c>
      <c r="G102" s="129">
        <v>8</v>
      </c>
      <c r="H102" s="183">
        <f t="shared" si="40"/>
        <v>335578</v>
      </c>
    </row>
    <row r="103" spans="2:8" x14ac:dyDescent="0.2">
      <c r="B103" s="129">
        <v>9</v>
      </c>
      <c r="C103" s="130">
        <v>294266</v>
      </c>
      <c r="D103" s="130">
        <f t="shared" si="38"/>
        <v>100050</v>
      </c>
      <c r="E103" s="131">
        <f t="shared" si="39"/>
        <v>400200</v>
      </c>
      <c r="G103" s="129">
        <v>9</v>
      </c>
      <c r="H103" s="183">
        <f t="shared" si="40"/>
        <v>303683</v>
      </c>
    </row>
    <row r="104" spans="2:8" x14ac:dyDescent="0.2">
      <c r="B104" s="129">
        <v>10</v>
      </c>
      <c r="C104" s="130">
        <v>266301</v>
      </c>
      <c r="D104" s="130">
        <f t="shared" si="38"/>
        <v>90542</v>
      </c>
      <c r="E104" s="131">
        <f t="shared" si="39"/>
        <v>362168</v>
      </c>
      <c r="G104" s="129">
        <v>10</v>
      </c>
      <c r="H104" s="183">
        <f t="shared" si="40"/>
        <v>274823</v>
      </c>
    </row>
    <row r="105" spans="2:8" x14ac:dyDescent="0.2">
      <c r="B105" s="129">
        <v>11</v>
      </c>
      <c r="C105" s="130">
        <v>241000</v>
      </c>
      <c r="D105" s="130">
        <f t="shared" si="38"/>
        <v>81940</v>
      </c>
      <c r="E105" s="131">
        <f t="shared" si="39"/>
        <v>327760</v>
      </c>
      <c r="G105" s="129">
        <v>11</v>
      </c>
      <c r="H105" s="183">
        <f t="shared" si="40"/>
        <v>248712</v>
      </c>
    </row>
    <row r="106" spans="2:8" ht="12" thickBot="1" x14ac:dyDescent="0.25">
      <c r="B106" s="132">
        <v>12</v>
      </c>
      <c r="C106" s="133">
        <v>218098</v>
      </c>
      <c r="D106" s="133">
        <f t="shared" si="38"/>
        <v>74153</v>
      </c>
      <c r="E106" s="134">
        <f t="shared" si="39"/>
        <v>296612</v>
      </c>
      <c r="G106" s="132">
        <v>12</v>
      </c>
      <c r="H106" s="184">
        <f t="shared" si="40"/>
        <v>225077</v>
      </c>
    </row>
    <row r="107" spans="2:8" x14ac:dyDescent="0.2">
      <c r="B107" s="135"/>
      <c r="C107" s="136"/>
      <c r="D107" s="136"/>
      <c r="E107" s="137"/>
      <c r="H107" s="12"/>
    </row>
    <row r="108" spans="2:8" ht="12" thickBot="1" x14ac:dyDescent="0.25">
      <c r="B108" s="135">
        <v>2016</v>
      </c>
      <c r="C108" s="136"/>
      <c r="D108" s="136"/>
      <c r="E108" s="137"/>
      <c r="H108" s="12"/>
    </row>
    <row r="109" spans="2:8" ht="12" thickBot="1" x14ac:dyDescent="0.25">
      <c r="B109" s="293" t="s">
        <v>48</v>
      </c>
      <c r="C109" s="294"/>
      <c r="D109" s="294"/>
      <c r="E109" s="295"/>
      <c r="G109" s="318">
        <v>2017</v>
      </c>
      <c r="H109" s="319"/>
    </row>
    <row r="110" spans="2:8" x14ac:dyDescent="0.2">
      <c r="B110" s="126">
        <v>3</v>
      </c>
      <c r="C110" s="127">
        <f>+C97/2</f>
        <v>236625.5</v>
      </c>
      <c r="D110" s="127">
        <f>ROUND(C110*0.34,0)</f>
        <v>80453</v>
      </c>
      <c r="E110" s="128">
        <f>+D110*4</f>
        <v>321812</v>
      </c>
      <c r="G110" s="126">
        <v>3</v>
      </c>
      <c r="H110" s="182">
        <f>ROUND(C110*1.032,0)</f>
        <v>244198</v>
      </c>
    </row>
    <row r="111" spans="2:8" x14ac:dyDescent="0.2">
      <c r="B111" s="129">
        <v>4</v>
      </c>
      <c r="C111" s="130">
        <f t="shared" ref="C111:C119" si="41">+C98/2</f>
        <v>223234</v>
      </c>
      <c r="D111" s="130">
        <f t="shared" ref="D111:D119" si="42">ROUND(C111*0.34,0)</f>
        <v>75900</v>
      </c>
      <c r="E111" s="131">
        <f t="shared" ref="E111:E119" si="43">+D111*4</f>
        <v>303600</v>
      </c>
      <c r="G111" s="129">
        <v>4</v>
      </c>
      <c r="H111" s="183">
        <f t="shared" ref="H111:H119" si="44">ROUND(C111*1.032,0)</f>
        <v>230377</v>
      </c>
    </row>
    <row r="112" spans="2:8" x14ac:dyDescent="0.2">
      <c r="B112" s="129">
        <v>5</v>
      </c>
      <c r="C112" s="130">
        <f t="shared" si="41"/>
        <v>222510.5</v>
      </c>
      <c r="D112" s="130">
        <f t="shared" si="42"/>
        <v>75654</v>
      </c>
      <c r="E112" s="131">
        <f t="shared" si="43"/>
        <v>302616</v>
      </c>
      <c r="G112" s="129">
        <v>5</v>
      </c>
      <c r="H112" s="183">
        <f t="shared" si="44"/>
        <v>229631</v>
      </c>
    </row>
    <row r="113" spans="2:8" x14ac:dyDescent="0.2">
      <c r="B113" s="129">
        <v>6</v>
      </c>
      <c r="C113" s="130">
        <f t="shared" si="41"/>
        <v>198668.5</v>
      </c>
      <c r="D113" s="130">
        <f t="shared" si="42"/>
        <v>67547</v>
      </c>
      <c r="E113" s="131">
        <f t="shared" si="43"/>
        <v>270188</v>
      </c>
      <c r="G113" s="129">
        <v>6</v>
      </c>
      <c r="H113" s="183">
        <f t="shared" si="44"/>
        <v>205026</v>
      </c>
    </row>
    <row r="114" spans="2:8" x14ac:dyDescent="0.2">
      <c r="B114" s="129">
        <v>7</v>
      </c>
      <c r="C114" s="130">
        <f t="shared" si="41"/>
        <v>181278.5</v>
      </c>
      <c r="D114" s="130">
        <f t="shared" si="42"/>
        <v>61635</v>
      </c>
      <c r="E114" s="131">
        <f t="shared" si="43"/>
        <v>246540</v>
      </c>
      <c r="G114" s="129">
        <v>7</v>
      </c>
      <c r="H114" s="183">
        <f t="shared" si="44"/>
        <v>187079</v>
      </c>
    </row>
    <row r="115" spans="2:8" x14ac:dyDescent="0.2">
      <c r="B115" s="129">
        <v>8</v>
      </c>
      <c r="C115" s="130">
        <f t="shared" si="41"/>
        <v>162586</v>
      </c>
      <c r="D115" s="130">
        <f t="shared" si="42"/>
        <v>55279</v>
      </c>
      <c r="E115" s="131">
        <f t="shared" si="43"/>
        <v>221116</v>
      </c>
      <c r="G115" s="129">
        <v>8</v>
      </c>
      <c r="H115" s="183">
        <f t="shared" si="44"/>
        <v>167789</v>
      </c>
    </row>
    <row r="116" spans="2:8" x14ac:dyDescent="0.2">
      <c r="B116" s="129">
        <v>9</v>
      </c>
      <c r="C116" s="130">
        <f t="shared" si="41"/>
        <v>147133</v>
      </c>
      <c r="D116" s="130">
        <f t="shared" si="42"/>
        <v>50025</v>
      </c>
      <c r="E116" s="131">
        <f t="shared" si="43"/>
        <v>200100</v>
      </c>
      <c r="G116" s="129">
        <v>9</v>
      </c>
      <c r="H116" s="183">
        <f t="shared" si="44"/>
        <v>151841</v>
      </c>
    </row>
    <row r="117" spans="2:8" x14ac:dyDescent="0.2">
      <c r="B117" s="129">
        <v>10</v>
      </c>
      <c r="C117" s="130">
        <f t="shared" si="41"/>
        <v>133150.5</v>
      </c>
      <c r="D117" s="130">
        <f t="shared" si="42"/>
        <v>45271</v>
      </c>
      <c r="E117" s="131">
        <f t="shared" si="43"/>
        <v>181084</v>
      </c>
      <c r="G117" s="129">
        <v>10</v>
      </c>
      <c r="H117" s="183">
        <f t="shared" si="44"/>
        <v>137411</v>
      </c>
    </row>
    <row r="118" spans="2:8" x14ac:dyDescent="0.2">
      <c r="B118" s="129">
        <v>11</v>
      </c>
      <c r="C118" s="130">
        <f t="shared" si="41"/>
        <v>120500</v>
      </c>
      <c r="D118" s="130">
        <f t="shared" si="42"/>
        <v>40970</v>
      </c>
      <c r="E118" s="131">
        <f t="shared" si="43"/>
        <v>163880</v>
      </c>
      <c r="G118" s="129">
        <v>11</v>
      </c>
      <c r="H118" s="183">
        <f t="shared" si="44"/>
        <v>124356</v>
      </c>
    </row>
    <row r="119" spans="2:8" ht="12" thickBot="1" x14ac:dyDescent="0.25">
      <c r="B119" s="132">
        <v>12</v>
      </c>
      <c r="C119" s="133">
        <f t="shared" si="41"/>
        <v>109049</v>
      </c>
      <c r="D119" s="133">
        <f t="shared" si="42"/>
        <v>37077</v>
      </c>
      <c r="E119" s="134">
        <f t="shared" si="43"/>
        <v>148308</v>
      </c>
      <c r="G119" s="132">
        <v>12</v>
      </c>
      <c r="H119" s="184">
        <f t="shared" si="44"/>
        <v>112539</v>
      </c>
    </row>
    <row r="120" spans="2:8" x14ac:dyDescent="0.2">
      <c r="H120" s="12"/>
    </row>
  </sheetData>
  <mergeCells count="34">
    <mergeCell ref="B1:U1"/>
    <mergeCell ref="B32:H32"/>
    <mergeCell ref="J32:U32"/>
    <mergeCell ref="J33:U33"/>
    <mergeCell ref="B34:B35"/>
    <mergeCell ref="C34:C35"/>
    <mergeCell ref="D34:D35"/>
    <mergeCell ref="E34:G34"/>
    <mergeCell ref="H34:H35"/>
    <mergeCell ref="J34:J35"/>
    <mergeCell ref="K34:N34"/>
    <mergeCell ref="P34:T34"/>
    <mergeCell ref="U34:U35"/>
    <mergeCell ref="L63:L64"/>
    <mergeCell ref="B70:B71"/>
    <mergeCell ref="C70:C71"/>
    <mergeCell ref="D70:D71"/>
    <mergeCell ref="E70:E71"/>
    <mergeCell ref="F70:F71"/>
    <mergeCell ref="G70:G71"/>
    <mergeCell ref="B109:E109"/>
    <mergeCell ref="H70:H71"/>
    <mergeCell ref="I70:I71"/>
    <mergeCell ref="J70:J71"/>
    <mergeCell ref="K70:K71"/>
    <mergeCell ref="G109:H109"/>
    <mergeCell ref="N70:N71"/>
    <mergeCell ref="O70:O71"/>
    <mergeCell ref="P70:P71"/>
    <mergeCell ref="Q70:Q71"/>
    <mergeCell ref="B96:E96"/>
    <mergeCell ref="L70:L71"/>
    <mergeCell ref="M70:M71"/>
    <mergeCell ref="G96:H96"/>
  </mergeCells>
  <printOptions horizontalCentered="1"/>
  <pageMargins left="0.19685039370078741" right="0.19685039370078741" top="0.74803149606299213" bottom="0.55118110236220474" header="0.31496062992125984" footer="0.31496062992125984"/>
  <pageSetup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opLeftCell="A13" workbookViewId="0">
      <selection activeCell="C20" sqref="C20"/>
    </sheetView>
  </sheetViews>
  <sheetFormatPr baseColWidth="10" defaultRowHeight="12.75" x14ac:dyDescent="0.2"/>
  <cols>
    <col min="1" max="1" width="28.28515625" style="162" bestFit="1" customWidth="1"/>
    <col min="2" max="3" width="8.85546875" style="163" bestFit="1" customWidth="1"/>
    <col min="4" max="16384" width="11.42578125" style="162"/>
  </cols>
  <sheetData>
    <row r="1" spans="1:3" x14ac:dyDescent="0.2">
      <c r="A1" s="168" t="s">
        <v>1</v>
      </c>
      <c r="B1" s="169">
        <v>8</v>
      </c>
      <c r="C1" s="169">
        <v>9</v>
      </c>
    </row>
    <row r="3" spans="1:3" x14ac:dyDescent="0.2">
      <c r="A3" s="162" t="s">
        <v>2</v>
      </c>
      <c r="B3" s="163">
        <v>437429</v>
      </c>
      <c r="C3" s="163">
        <v>404987</v>
      </c>
    </row>
    <row r="4" spans="1:3" x14ac:dyDescent="0.2">
      <c r="A4" s="162" t="s">
        <v>40</v>
      </c>
      <c r="B4" s="163">
        <f>+B3*0.02</f>
        <v>8748.58</v>
      </c>
      <c r="C4" s="163">
        <f t="shared" ref="C4" si="0">+C3*0.02</f>
        <v>8099.74</v>
      </c>
    </row>
    <row r="5" spans="1:3" x14ac:dyDescent="0.2">
      <c r="A5" s="162" t="s">
        <v>3</v>
      </c>
      <c r="B5" s="163">
        <v>94047</v>
      </c>
      <c r="C5" s="163">
        <v>87072</v>
      </c>
    </row>
    <row r="6" spans="1:3" x14ac:dyDescent="0.2">
      <c r="A6" s="162" t="s">
        <v>50</v>
      </c>
      <c r="B6" s="163">
        <v>728328</v>
      </c>
      <c r="C6" s="163">
        <v>559632</v>
      </c>
    </row>
    <row r="7" spans="1:3" x14ac:dyDescent="0.2">
      <c r="A7" s="162" t="s">
        <v>51</v>
      </c>
      <c r="B7" s="163">
        <v>122480</v>
      </c>
      <c r="C7" s="163">
        <v>113396</v>
      </c>
    </row>
    <row r="8" spans="1:3" x14ac:dyDescent="0.2">
      <c r="A8" s="162" t="s">
        <v>4</v>
      </c>
      <c r="B8" s="163">
        <v>129068</v>
      </c>
      <c r="C8" s="163">
        <v>98402</v>
      </c>
    </row>
    <row r="9" spans="1:3" x14ac:dyDescent="0.2">
      <c r="A9" s="162" t="s">
        <v>52</v>
      </c>
      <c r="B9" s="163">
        <v>18938</v>
      </c>
      <c r="C9" s="163">
        <v>18938</v>
      </c>
    </row>
    <row r="10" spans="1:3" x14ac:dyDescent="0.2">
      <c r="A10" s="162" t="s">
        <v>53</v>
      </c>
      <c r="B10" s="163">
        <v>53212</v>
      </c>
      <c r="C10" s="163">
        <v>40562</v>
      </c>
    </row>
    <row r="11" spans="1:3" x14ac:dyDescent="0.2">
      <c r="A11" s="162" t="s">
        <v>54</v>
      </c>
      <c r="B11" s="163">
        <v>29873</v>
      </c>
      <c r="C11" s="163">
        <v>29873</v>
      </c>
    </row>
    <row r="12" spans="1:3" x14ac:dyDescent="0.2">
      <c r="A12" s="162" t="s">
        <v>5</v>
      </c>
      <c r="B12" s="163">
        <v>0</v>
      </c>
      <c r="C12" s="163">
        <v>0</v>
      </c>
    </row>
    <row r="13" spans="1:3" x14ac:dyDescent="0.2">
      <c r="A13" s="162" t="s">
        <v>6</v>
      </c>
      <c r="B13" s="163">
        <v>0</v>
      </c>
      <c r="C13" s="163">
        <v>0</v>
      </c>
    </row>
    <row r="14" spans="1:3" x14ac:dyDescent="0.2">
      <c r="A14" s="162" t="s">
        <v>7</v>
      </c>
      <c r="B14" s="163">
        <v>0</v>
      </c>
      <c r="C14" s="163">
        <v>0</v>
      </c>
    </row>
    <row r="15" spans="1:3" x14ac:dyDescent="0.2">
      <c r="A15" s="162" t="s">
        <v>8</v>
      </c>
      <c r="B15" s="163">
        <v>0</v>
      </c>
      <c r="C15" s="163">
        <v>0</v>
      </c>
    </row>
    <row r="16" spans="1:3" ht="13.5" thickBot="1" x14ac:dyDescent="0.25">
      <c r="A16" s="162" t="s">
        <v>39</v>
      </c>
      <c r="B16" s="163">
        <f>+'Tabla Homol.Dic.2016-Nov.2017'!H102</f>
        <v>335578</v>
      </c>
      <c r="C16" s="163">
        <f>+'Tabla Homol.Dic.2016-Nov.2017'!H103</f>
        <v>303683</v>
      </c>
    </row>
    <row r="17" spans="1:3" ht="13.5" thickBot="1" x14ac:dyDescent="0.25">
      <c r="A17" s="164" t="s">
        <v>59</v>
      </c>
      <c r="B17" s="165">
        <f>SUM(B3:B16)</f>
        <v>1957701.58</v>
      </c>
      <c r="C17" s="166">
        <f>SUM(C3:C16)</f>
        <v>1664644.74</v>
      </c>
    </row>
    <row r="19" spans="1:3" x14ac:dyDescent="0.2">
      <c r="A19" s="162" t="s">
        <v>62</v>
      </c>
      <c r="B19" s="163">
        <f>+B17-B7</f>
        <v>1835221.58</v>
      </c>
      <c r="C19" s="163">
        <f>+C17-C7</f>
        <v>1551248.74</v>
      </c>
    </row>
    <row r="20" spans="1:3" x14ac:dyDescent="0.2">
      <c r="A20" s="162" t="s">
        <v>55</v>
      </c>
      <c r="B20" s="163">
        <f>ROUND(B19*0.1127,0)</f>
        <v>206829</v>
      </c>
      <c r="C20" s="163">
        <f>ROUND(C19*0.1127,0)</f>
        <v>174826</v>
      </c>
    </row>
    <row r="21" spans="1:3" x14ac:dyDescent="0.2">
      <c r="A21" s="162" t="s">
        <v>56</v>
      </c>
      <c r="B21" s="163">
        <f>ROUND(B19*0.07,0)</f>
        <v>128466</v>
      </c>
      <c r="C21" s="163">
        <f>ROUND(C19*0.07,0)</f>
        <v>108587</v>
      </c>
    </row>
    <row r="22" spans="1:3" x14ac:dyDescent="0.2">
      <c r="A22" s="172" t="s">
        <v>58</v>
      </c>
      <c r="B22" s="170">
        <f>ROUND(B24*0.08-80358,0)</f>
        <v>39636</v>
      </c>
      <c r="C22" s="170">
        <f>ROUND(C24*0.04-24939,0)</f>
        <v>25774</v>
      </c>
    </row>
    <row r="24" spans="1:3" x14ac:dyDescent="0.2">
      <c r="A24" s="162" t="s">
        <v>57</v>
      </c>
      <c r="B24" s="163">
        <f>+B19-B20-B21</f>
        <v>1499926.58</v>
      </c>
      <c r="C24" s="163">
        <f>+C19-C20-C21</f>
        <v>1267835.74</v>
      </c>
    </row>
    <row r="26" spans="1:3" x14ac:dyDescent="0.2">
      <c r="A26" s="179" t="s">
        <v>60</v>
      </c>
      <c r="B26" s="180">
        <f>ROUND((B17-B20-B21-B22)*0.22,0)</f>
        <v>348210</v>
      </c>
      <c r="C26" s="180">
        <f>ROUND((C17-C20-C21-C22)*0.22,0)</f>
        <v>298201</v>
      </c>
    </row>
    <row r="27" spans="1:3" x14ac:dyDescent="0.2">
      <c r="A27" s="179" t="s">
        <v>61</v>
      </c>
      <c r="B27" s="180">
        <f>ROUND((B17-B20-B21-B22)*0.24,0)</f>
        <v>379865</v>
      </c>
      <c r="C27" s="180">
        <f>ROUND((C17-C20-C21-C22)*0.24,0)</f>
        <v>325310</v>
      </c>
    </row>
    <row r="29" spans="1:3" x14ac:dyDescent="0.2">
      <c r="A29" s="167" t="s">
        <v>63</v>
      </c>
      <c r="B29" s="171">
        <f>+'Tabla Homol.Dic.2016-Nov.2017'!T43</f>
        <v>1114974</v>
      </c>
      <c r="C29" s="171">
        <f>+'Tabla Homol.Dic.2016-Nov.2017'!T44</f>
        <v>930329</v>
      </c>
    </row>
    <row r="30" spans="1:3" x14ac:dyDescent="0.2">
      <c r="B30" s="163">
        <f>+B29*0.9</f>
        <v>1003476.6</v>
      </c>
      <c r="C30" s="163">
        <f>+C29*0.9</f>
        <v>837296.1</v>
      </c>
    </row>
    <row r="31" spans="1:3" x14ac:dyDescent="0.2">
      <c r="A31" s="179" t="s">
        <v>60</v>
      </c>
      <c r="B31" s="180">
        <f>+B30*0.22</f>
        <v>220764.85199999998</v>
      </c>
      <c r="C31" s="180">
        <f>+C30*0.2</f>
        <v>167459.22</v>
      </c>
    </row>
    <row r="32" spans="1:3" x14ac:dyDescent="0.2">
      <c r="A32" s="179" t="s">
        <v>61</v>
      </c>
      <c r="B32" s="180">
        <f>+B30*0.24</f>
        <v>240834.38399999999</v>
      </c>
      <c r="C32" s="180">
        <f>+C30*0.24</f>
        <v>200951.06399999998</v>
      </c>
    </row>
    <row r="34" spans="1:6" ht="13.5" thickBot="1" x14ac:dyDescent="0.25"/>
    <row r="35" spans="1:6" x14ac:dyDescent="0.2">
      <c r="A35" s="173" t="s">
        <v>64</v>
      </c>
      <c r="B35" s="174">
        <f>+B31+B26</f>
        <v>568974.85199999996</v>
      </c>
      <c r="C35" s="175">
        <f>+C31+C26</f>
        <v>465660.22</v>
      </c>
      <c r="F35" s="163">
        <f>+B35-483000</f>
        <v>85974.851999999955</v>
      </c>
    </row>
    <row r="36" spans="1:6" ht="13.5" thickBot="1" x14ac:dyDescent="0.25">
      <c r="A36" s="176" t="s">
        <v>65</v>
      </c>
      <c r="B36" s="177">
        <f>+B32+B27</f>
        <v>620699.38399999996</v>
      </c>
      <c r="C36" s="178">
        <f>+C32+C27</f>
        <v>526261.06400000001</v>
      </c>
    </row>
    <row r="38" spans="1:6" x14ac:dyDescent="0.2">
      <c r="B38" s="163">
        <f>+B17-B20-B21-B22-B26</f>
        <v>1234560.58</v>
      </c>
      <c r="C38" s="163">
        <f>+C17-C20-C21-C22-C26</f>
        <v>1057256.74</v>
      </c>
    </row>
    <row r="39" spans="1:6" x14ac:dyDescent="0.2">
      <c r="B39" s="163">
        <f>+B17-B20-B21-B22-B27</f>
        <v>1202905.58</v>
      </c>
      <c r="C39" s="163">
        <f>+C17-C20-C21-C22-C27</f>
        <v>1030147.74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55"/>
  <sheetViews>
    <sheetView topLeftCell="G1" zoomScaleNormal="100" workbookViewId="0">
      <pane ySplit="3" topLeftCell="A4" activePane="bottomLeft" state="frozen"/>
      <selection pane="bottomLeft" activeCell="S4" sqref="S4:S23"/>
    </sheetView>
  </sheetViews>
  <sheetFormatPr baseColWidth="10" defaultRowHeight="11.25" x14ac:dyDescent="0.2"/>
  <cols>
    <col min="1" max="1" width="7" style="194" bestFit="1" customWidth="1"/>
    <col min="2" max="2" width="10.7109375" style="193" bestFit="1" customWidth="1"/>
    <col min="3" max="3" width="13.140625" style="193" bestFit="1" customWidth="1"/>
    <col min="4" max="4" width="13.28515625" style="193" customWidth="1"/>
    <col min="5" max="5" width="13.42578125" style="193" bestFit="1" customWidth="1"/>
    <col min="6" max="6" width="13.42578125" style="193" customWidth="1"/>
    <col min="7" max="7" width="14.42578125" style="193" bestFit="1" customWidth="1"/>
    <col min="8" max="8" width="13.42578125" style="193" customWidth="1"/>
    <col min="9" max="9" width="12.42578125" style="193" customWidth="1"/>
    <col min="10" max="10" width="12.42578125" style="193" bestFit="1" customWidth="1"/>
    <col min="11" max="11" width="15.7109375" style="193" bestFit="1" customWidth="1"/>
    <col min="12" max="12" width="13.5703125" style="193" bestFit="1" customWidth="1"/>
    <col min="13" max="13" width="14" style="193" bestFit="1" customWidth="1"/>
    <col min="14" max="14" width="13.5703125" style="193" bestFit="1" customWidth="1"/>
    <col min="15" max="15" width="12.85546875" style="195" customWidth="1"/>
    <col min="16" max="16" width="11.42578125" style="193" customWidth="1"/>
    <col min="17" max="17" width="12.5703125" style="193" bestFit="1" customWidth="1"/>
    <col min="18" max="16384" width="11.42578125" style="193"/>
  </cols>
  <sheetData>
    <row r="1" spans="1:19" s="188" customFormat="1" ht="30.75" customHeight="1" x14ac:dyDescent="0.2">
      <c r="B1" s="185">
        <f>+'Tabla Homol.Dic.2016-Nov.2017'!A1</f>
        <v>1.032</v>
      </c>
      <c r="C1" s="320" t="str">
        <f>+'Tabla Homol.Dic.2016-Nov.2017'!B1</f>
        <v>ESCALA UNICA DE SUELDOS - VIGENTE DICIEMBRE 2016 - NOVIEMBRE 2017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19" x14ac:dyDescent="0.2">
      <c r="A2" s="193"/>
      <c r="B2" s="194"/>
      <c r="O2" s="193"/>
      <c r="P2" s="195"/>
    </row>
    <row r="3" spans="1:19" s="197" customFormat="1" ht="24" x14ac:dyDescent="0.2">
      <c r="B3" s="199" t="str">
        <f>+'Tabla Homol.Dic.2016-Nov.2017'!A3</f>
        <v>GRADOS</v>
      </c>
      <c r="C3" s="199" t="str">
        <f>+'Tabla Homol.Dic.2016-Nov.2017'!$A5</f>
        <v>SUELDO BASE</v>
      </c>
      <c r="D3" s="199" t="str">
        <f>+'Tabla Homol.Dic.2016-Nov.2017'!$A6</f>
        <v>DL 3501</v>
      </c>
      <c r="E3" s="199" t="str">
        <f>+'Tabla Homol.Dic.2016-Nov.2017'!$A7</f>
        <v>ASIG MUNICIPAL</v>
      </c>
      <c r="F3" s="199" t="str">
        <f>+'Tabla Homol.Dic.2016-Nov.2017'!$A8</f>
        <v xml:space="preserve">ASIG.ZONA </v>
      </c>
      <c r="G3" s="199" t="str">
        <f>+'Tabla Homol.Dic.2016-Nov.2017'!$A9</f>
        <v>ART. 10 LEY 18675</v>
      </c>
      <c r="H3" s="201" t="str">
        <f>+'Tabla Homol.Dic.2016-Nov.2017'!$A10</f>
        <v>Asig Unica Ley 18,717</v>
      </c>
      <c r="I3" s="201" t="str">
        <f>+'Tabla Homol.Dic.2016-Nov.2017'!$A11</f>
        <v>Bonif.Salud Ley 18,566</v>
      </c>
      <c r="J3" s="199" t="str">
        <f>+'Tabla Homol.Dic.2016-Nov.2017'!$A12</f>
        <v>LEY 19529</v>
      </c>
      <c r="K3" s="202" t="str">
        <f>+'Tabla Homol.Dic.2016-Nov.2017'!$A13</f>
        <v>SUELDO LEY 18695</v>
      </c>
      <c r="L3" s="201" t="str">
        <f>+'Tabla Homol.Dic.2016-Nov.2017'!$A14</f>
        <v>ASIG.MUNIC. LEY 18695</v>
      </c>
      <c r="M3" s="202" t="str">
        <f>+'Tabla Homol.Dic.2016-Nov.2017'!$A15</f>
        <v>LEY 20008 JUECES</v>
      </c>
      <c r="N3" s="201" t="str">
        <f>+'Tabla Homol.Dic.2016-Nov.2017'!$A16</f>
        <v>ART. 5 LEY 20008 JUECES</v>
      </c>
      <c r="O3" s="201" t="str">
        <f>+'Tabla Homol.Dic.2016-Nov.2017'!$A17</f>
        <v>ASIG. PROFESIONAL</v>
      </c>
      <c r="P3" s="202" t="str">
        <f>+'Tabla Homol.Dic.2016-Nov.2017'!$A18</f>
        <v>TOTAL BRUTO</v>
      </c>
      <c r="Q3" s="215" t="s">
        <v>70</v>
      </c>
    </row>
    <row r="4" spans="1:19" s="204" customFormat="1" ht="12" x14ac:dyDescent="0.2">
      <c r="B4" s="200">
        <v>1</v>
      </c>
      <c r="C4" s="205">
        <f>HLOOKUP($B4,'Tabla Homol.Dic.2016-Nov.2017'!Escala_2016,3,0)</f>
        <v>612609</v>
      </c>
      <c r="D4" s="206">
        <f>HLOOKUP($B4,'Tabla Homol.Dic.2016-Nov.2017'!Escala_2016,4,0)</f>
        <v>131711</v>
      </c>
      <c r="E4" s="205">
        <f>HLOOKUP($B4,'Tabla Homol.Dic.2016-Nov.2017'!Escala_2016,5,0)</f>
        <v>2275312</v>
      </c>
      <c r="F4" s="206">
        <f>HLOOKUP($B4,'Tabla Homol.Dic.2016-Nov.2017'!Escala_2016,6,0)</f>
        <v>171530</v>
      </c>
      <c r="G4" s="205">
        <f>HLOOKUP($B4,'Tabla Homol.Dic.2016-Nov.2017'!Escala_2016,7,0)</f>
        <v>203366</v>
      </c>
      <c r="H4" s="205">
        <f>HLOOKUP($B4,'Tabla Homol.Dic.2016-Nov.2017'!Escala_2016,8,0)</f>
        <v>18938</v>
      </c>
      <c r="I4" s="205">
        <f>HLOOKUP($B4,'Tabla Homol.Dic.2016-Nov.2017'!Escala_2016,9,0)</f>
        <v>92128</v>
      </c>
      <c r="J4" s="205">
        <f>HLOOKUP($B4,'Tabla Homol.Dic.2016-Nov.2017'!Escala_2016,10,0)</f>
        <v>0</v>
      </c>
      <c r="K4" s="205">
        <f>HLOOKUP($B4,'Tabla Homol.Dic.2016-Nov.2017'!Escala_2016,11,0)</f>
        <v>612609</v>
      </c>
      <c r="L4" s="205">
        <f>HLOOKUP($B4,'Tabla Homol.Dic.2016-Nov.2017'!Escala_2016,12,0)</f>
        <v>2275312</v>
      </c>
      <c r="M4" s="205">
        <f>HLOOKUP($B4,'Tabla Homol.Dic.2016-Nov.2017'!Escala_2016,13,0)</f>
        <v>0</v>
      </c>
      <c r="N4" s="205">
        <f>HLOOKUP($B4,'Tabla Homol.Dic.2016-Nov.2017'!Escala_2016,14,0)</f>
        <v>0</v>
      </c>
      <c r="O4" s="206">
        <f>HLOOKUP($B4,'Tabla Homol.Dic.2016-Nov.2017'!Escala_2016,15,0)</f>
        <v>0</v>
      </c>
      <c r="P4" s="203">
        <f>SUM(C4:O4)</f>
        <v>6393515</v>
      </c>
      <c r="Q4" s="207">
        <f>HLOOKUP($B4,'Tabla Homol.Dic.2016-Nov.2017'!Escala_2016,16,0)-P4</f>
        <v>0</v>
      </c>
      <c r="S4" s="218">
        <f>+P4*1.025</f>
        <v>6553352.8749999991</v>
      </c>
    </row>
    <row r="5" spans="1:19" s="204" customFormat="1" ht="12" x14ac:dyDescent="0.2">
      <c r="B5" s="200">
        <v>2</v>
      </c>
      <c r="C5" s="205">
        <f>HLOOKUP($B5,'Tabla Homol.Dic.2016-Nov.2017'!Escala_2016,3,0)</f>
        <v>578204</v>
      </c>
      <c r="D5" s="206">
        <f>HLOOKUP($B5,'Tabla Homol.Dic.2016-Nov.2017'!Escala_2016,4,0)</f>
        <v>124314</v>
      </c>
      <c r="E5" s="205">
        <f>HLOOKUP($B5,'Tabla Homol.Dic.2016-Nov.2017'!Escala_2016,5,0)</f>
        <v>2176813</v>
      </c>
      <c r="F5" s="206">
        <f>HLOOKUP($B5,'Tabla Homol.Dic.2016-Nov.2017'!Escala_2016,6,0)</f>
        <v>161897</v>
      </c>
      <c r="G5" s="205">
        <f>HLOOKUP($B5,'Tabla Homol.Dic.2016-Nov.2017'!Escala_2016,7,0)</f>
        <v>208986</v>
      </c>
      <c r="H5" s="205">
        <f>HLOOKUP($B5,'Tabla Homol.Dic.2016-Nov.2017'!Escala_2016,8,0)</f>
        <v>18938</v>
      </c>
      <c r="I5" s="205">
        <f>HLOOKUP($B5,'Tabla Homol.Dic.2016-Nov.2017'!Escala_2016,9,0)</f>
        <v>95043</v>
      </c>
      <c r="J5" s="205">
        <f>HLOOKUP($B5,'Tabla Homol.Dic.2016-Nov.2017'!Escala_2016,10,0)</f>
        <v>0</v>
      </c>
      <c r="K5" s="205">
        <f>HLOOKUP($B5,'Tabla Homol.Dic.2016-Nov.2017'!Escala_2016,11,0)</f>
        <v>0</v>
      </c>
      <c r="L5" s="205">
        <f>HLOOKUP($B5,'Tabla Homol.Dic.2016-Nov.2017'!Escala_2016,12,0)</f>
        <v>0</v>
      </c>
      <c r="M5" s="205">
        <f>HLOOKUP($B5,'Tabla Homol.Dic.2016-Nov.2017'!Escala_2016,13,0)</f>
        <v>0</v>
      </c>
      <c r="N5" s="205">
        <f>HLOOKUP($B5,'Tabla Homol.Dic.2016-Nov.2017'!Escala_2016,14,0)</f>
        <v>0</v>
      </c>
      <c r="O5" s="206">
        <f>HLOOKUP($B5,'Tabla Homol.Dic.2016-Nov.2017'!Escala_2016,15,0)</f>
        <v>0</v>
      </c>
      <c r="P5" s="203">
        <f t="shared" ref="P5:P23" si="0">SUM(C5:O5)</f>
        <v>3364195</v>
      </c>
      <c r="Q5" s="207">
        <f>HLOOKUP($B5,'Tabla Homol.Dic.2016-Nov.2017'!Escala_2016,16,0)-P5</f>
        <v>0</v>
      </c>
      <c r="S5" s="218">
        <f t="shared" ref="S5:S23" si="1">+P5*1.025</f>
        <v>3448299.8749999995</v>
      </c>
    </row>
    <row r="6" spans="1:19" s="204" customFormat="1" ht="12" x14ac:dyDescent="0.2">
      <c r="A6" s="204">
        <f>+C6/30*3</f>
        <v>61048.900000000009</v>
      </c>
      <c r="B6" s="200">
        <v>3</v>
      </c>
      <c r="C6" s="205">
        <f>HLOOKUP($B6,'Tabla Homol.Dic.2016-Nov.2017'!Escala_2016,3,0)</f>
        <v>610489</v>
      </c>
      <c r="D6" s="206">
        <f>HLOOKUP($B6,'Tabla Homol.Dic.2016-Nov.2017'!Escala_2016,4,0)</f>
        <v>131255</v>
      </c>
      <c r="E6" s="205">
        <f>HLOOKUP($B6,'Tabla Homol.Dic.2016-Nov.2017'!Escala_2016,5,0)</f>
        <v>1795002</v>
      </c>
      <c r="F6" s="206">
        <f>HLOOKUP($B6,'Tabla Homol.Dic.2016-Nov.2017'!Escala_2016,6,0)</f>
        <v>170937</v>
      </c>
      <c r="G6" s="205">
        <f>HLOOKUP($B6,'Tabla Homol.Dic.2016-Nov.2017'!Escala_2016,7,0)</f>
        <v>209758</v>
      </c>
      <c r="H6" s="205">
        <f>HLOOKUP($B6,'Tabla Homol.Dic.2016-Nov.2017'!Escala_2016,8,0)</f>
        <v>18938</v>
      </c>
      <c r="I6" s="205">
        <f>HLOOKUP($B6,'Tabla Homol.Dic.2016-Nov.2017'!Escala_2016,9,0)</f>
        <v>95425</v>
      </c>
      <c r="J6" s="205">
        <f>HLOOKUP($B6,'Tabla Homol.Dic.2016-Nov.2017'!Escala_2016,10,0)</f>
        <v>25978</v>
      </c>
      <c r="K6" s="205">
        <f>HLOOKUP($B6,'Tabla Homol.Dic.2016-Nov.2017'!Escala_2016,11,0)</f>
        <v>0</v>
      </c>
      <c r="L6" s="205">
        <f>HLOOKUP($B6,'Tabla Homol.Dic.2016-Nov.2017'!Escala_2016,12,0)</f>
        <v>0</v>
      </c>
      <c r="M6" s="205">
        <f>HLOOKUP($B6,'Tabla Homol.Dic.2016-Nov.2017'!Escala_2016,13,0)</f>
        <v>721648</v>
      </c>
      <c r="N6" s="205">
        <f>HLOOKUP($B6,'Tabla Homol.Dic.2016-Nov.2017'!Escala_2016,14,0)</f>
        <v>481098</v>
      </c>
      <c r="O6" s="206">
        <f>HLOOKUP($B6,'Tabla Homol.Dic.2016-Nov.2017'!Escala_2016,15,0)</f>
        <v>488395</v>
      </c>
      <c r="P6" s="203">
        <f t="shared" si="0"/>
        <v>4748923</v>
      </c>
      <c r="Q6" s="207">
        <f>+O6/2</f>
        <v>244197.5</v>
      </c>
      <c r="S6" s="218">
        <f t="shared" si="1"/>
        <v>4867646.0749999993</v>
      </c>
    </row>
    <row r="7" spans="1:19" s="204" customFormat="1" ht="12" x14ac:dyDescent="0.2">
      <c r="B7" s="200">
        <v>4</v>
      </c>
      <c r="C7" s="205">
        <f>HLOOKUP($B7,'Tabla Homol.Dic.2016-Nov.2017'!Escala_2016,3,0)</f>
        <v>575948</v>
      </c>
      <c r="D7" s="206">
        <f>HLOOKUP($B7,'Tabla Homol.Dic.2016-Nov.2017'!Escala_2016,4,0)</f>
        <v>123829</v>
      </c>
      <c r="E7" s="205">
        <f>HLOOKUP($B7,'Tabla Homol.Dic.2016-Nov.2017'!Escala_2016,5,0)</f>
        <v>1741543</v>
      </c>
      <c r="F7" s="206">
        <f>HLOOKUP($B7,'Tabla Homol.Dic.2016-Nov.2017'!Escala_2016,6,0)</f>
        <v>161267</v>
      </c>
      <c r="G7" s="205">
        <f>HLOOKUP($B7,'Tabla Homol.Dic.2016-Nov.2017'!Escala_2016,7,0)</f>
        <v>214637</v>
      </c>
      <c r="H7" s="205">
        <f>HLOOKUP($B7,'Tabla Homol.Dic.2016-Nov.2017'!Escala_2016,8,0)</f>
        <v>18938</v>
      </c>
      <c r="I7" s="205">
        <f>HLOOKUP($B7,'Tabla Homol.Dic.2016-Nov.2017'!Escala_2016,9,0)</f>
        <v>97945</v>
      </c>
      <c r="J7" s="205">
        <f>HLOOKUP($B7,'Tabla Homol.Dic.2016-Nov.2017'!Escala_2016,10,0)</f>
        <v>25978</v>
      </c>
      <c r="K7" s="205">
        <f>HLOOKUP($B7,'Tabla Homol.Dic.2016-Nov.2017'!Escala_2016,11,0)</f>
        <v>0</v>
      </c>
      <c r="L7" s="205">
        <f>HLOOKUP($B7,'Tabla Homol.Dic.2016-Nov.2017'!Escala_2016,12,0)</f>
        <v>0</v>
      </c>
      <c r="M7" s="205">
        <f>HLOOKUP($B7,'Tabla Homol.Dic.2016-Nov.2017'!Escala_2016,13,0)</f>
        <v>0</v>
      </c>
      <c r="N7" s="205">
        <f>HLOOKUP($B7,'Tabla Homol.Dic.2016-Nov.2017'!Escala_2016,14,0)</f>
        <v>0</v>
      </c>
      <c r="O7" s="206">
        <f>HLOOKUP($B7,'Tabla Homol.Dic.2016-Nov.2017'!Escala_2016,15,0)</f>
        <v>460755</v>
      </c>
      <c r="P7" s="203">
        <f t="shared" si="0"/>
        <v>3420840</v>
      </c>
      <c r="Q7" s="207">
        <f t="shared" ref="Q7:Q23" si="2">+O7/2</f>
        <v>230377.5</v>
      </c>
      <c r="S7" s="218">
        <f t="shared" si="1"/>
        <v>3506360.9999999995</v>
      </c>
    </row>
    <row r="8" spans="1:19" s="204" customFormat="1" ht="12" x14ac:dyDescent="0.2">
      <c r="B8" s="200">
        <v>5</v>
      </c>
      <c r="C8" s="205">
        <f>HLOOKUP($B8,'Tabla Homol.Dic.2016-Nov.2017'!Escala_2016,3,0)</f>
        <v>543368</v>
      </c>
      <c r="D8" s="206">
        <f>HLOOKUP($B8,'Tabla Homol.Dic.2016-Nov.2017'!Escala_2016,4,0)</f>
        <v>116823</v>
      </c>
      <c r="E8" s="205">
        <f>HLOOKUP($B8,'Tabla Homol.Dic.2016-Nov.2017'!Escala_2016,5,0)</f>
        <v>1496816</v>
      </c>
      <c r="F8" s="206">
        <f>HLOOKUP($B8,'Tabla Homol.Dic.2016-Nov.2017'!Escala_2016,6,0)</f>
        <v>152143</v>
      </c>
      <c r="G8" s="205">
        <f>HLOOKUP($B8,'Tabla Homol.Dic.2016-Nov.2017'!Escala_2016,7,0)</f>
        <v>219536</v>
      </c>
      <c r="H8" s="205">
        <f>HLOOKUP($B8,'Tabla Homol.Dic.2016-Nov.2017'!Escala_2016,8,0)</f>
        <v>18938</v>
      </c>
      <c r="I8" s="205">
        <f>HLOOKUP($B8,'Tabla Homol.Dic.2016-Nov.2017'!Escala_2016,9,0)</f>
        <v>100508</v>
      </c>
      <c r="J8" s="205">
        <f>HLOOKUP($B8,'Tabla Homol.Dic.2016-Nov.2017'!Escala_2016,10,0)</f>
        <v>25978</v>
      </c>
      <c r="K8" s="205">
        <f>HLOOKUP($B8,'Tabla Homol.Dic.2016-Nov.2017'!Escala_2016,11,0)</f>
        <v>0</v>
      </c>
      <c r="L8" s="205">
        <f>HLOOKUP($B8,'Tabla Homol.Dic.2016-Nov.2017'!Escala_2016,12,0)</f>
        <v>0</v>
      </c>
      <c r="M8" s="205">
        <f>HLOOKUP($B8,'Tabla Homol.Dic.2016-Nov.2017'!Escala_2016,13,0)</f>
        <v>0</v>
      </c>
      <c r="N8" s="205">
        <f>HLOOKUP($B8,'Tabla Homol.Dic.2016-Nov.2017'!Escala_2016,14,0)</f>
        <v>0</v>
      </c>
      <c r="O8" s="206">
        <f>HLOOKUP($B8,'Tabla Homol.Dic.2016-Nov.2017'!Escala_2016,15,0)</f>
        <v>459262</v>
      </c>
      <c r="P8" s="203">
        <f t="shared" si="0"/>
        <v>3133372</v>
      </c>
      <c r="Q8" s="207">
        <f t="shared" si="2"/>
        <v>229631</v>
      </c>
      <c r="S8" s="218">
        <f t="shared" si="1"/>
        <v>3211706.3</v>
      </c>
    </row>
    <row r="9" spans="1:19" s="204" customFormat="1" ht="12" x14ac:dyDescent="0.2">
      <c r="B9" s="200">
        <v>6</v>
      </c>
      <c r="C9" s="205">
        <f>HLOOKUP($B9,'Tabla Homol.Dic.2016-Nov.2017'!Escala_2016,3,0)</f>
        <v>512571</v>
      </c>
      <c r="D9" s="206">
        <f>HLOOKUP($B9,'Tabla Homol.Dic.2016-Nov.2017'!Escala_2016,4,0)</f>
        <v>110203</v>
      </c>
      <c r="E9" s="205">
        <f>HLOOKUP($B9,'Tabla Homol.Dic.2016-Nov.2017'!Escala_2016,5,0)</f>
        <v>1264924</v>
      </c>
      <c r="F9" s="206">
        <f>HLOOKUP($B9,'Tabla Homol.Dic.2016-Nov.2017'!Escala_2016,6,0)</f>
        <v>143519</v>
      </c>
      <c r="G9" s="205">
        <f>HLOOKUP($B9,'Tabla Homol.Dic.2016-Nov.2017'!Escala_2016,7,0)</f>
        <v>245390</v>
      </c>
      <c r="H9" s="205">
        <f>HLOOKUP($B9,'Tabla Homol.Dic.2016-Nov.2017'!Escala_2016,8,0)</f>
        <v>18938</v>
      </c>
      <c r="I9" s="205">
        <f>HLOOKUP($B9,'Tabla Homol.Dic.2016-Nov.2017'!Escala_2016,9,0)</f>
        <v>93513</v>
      </c>
      <c r="J9" s="205">
        <f>HLOOKUP($B9,'Tabla Homol.Dic.2016-Nov.2017'!Escala_2016,10,0)</f>
        <v>29873</v>
      </c>
      <c r="K9" s="205">
        <f>HLOOKUP($B9,'Tabla Homol.Dic.2016-Nov.2017'!Escala_2016,11,0)</f>
        <v>0</v>
      </c>
      <c r="L9" s="205">
        <f>HLOOKUP($B9,'Tabla Homol.Dic.2016-Nov.2017'!Escala_2016,12,0)</f>
        <v>0</v>
      </c>
      <c r="M9" s="205">
        <f>HLOOKUP($B9,'Tabla Homol.Dic.2016-Nov.2017'!Escala_2016,13,0)</f>
        <v>0</v>
      </c>
      <c r="N9" s="205">
        <f>HLOOKUP($B9,'Tabla Homol.Dic.2016-Nov.2017'!Escala_2016,14,0)</f>
        <v>0</v>
      </c>
      <c r="O9" s="206">
        <f>HLOOKUP($B9,'Tabla Homol.Dic.2016-Nov.2017'!Escala_2016,15,0)</f>
        <v>410052</v>
      </c>
      <c r="P9" s="203">
        <f t="shared" si="0"/>
        <v>2828983</v>
      </c>
      <c r="Q9" s="207">
        <f t="shared" si="2"/>
        <v>205026</v>
      </c>
      <c r="S9" s="218">
        <f t="shared" si="1"/>
        <v>2899707.5749999997</v>
      </c>
    </row>
    <row r="10" spans="1:19" s="204" customFormat="1" ht="12" x14ac:dyDescent="0.2">
      <c r="B10" s="200">
        <v>7</v>
      </c>
      <c r="C10" s="205">
        <f>HLOOKUP($B10,'Tabla Homol.Dic.2016-Nov.2017'!Escala_2016,3,0)</f>
        <v>472464</v>
      </c>
      <c r="D10" s="206">
        <f>HLOOKUP($B10,'Tabla Homol.Dic.2016-Nov.2017'!Escala_2016,4,0)</f>
        <v>101580</v>
      </c>
      <c r="E10" s="205">
        <f>HLOOKUP($B10,'Tabla Homol.Dic.2016-Nov.2017'!Escala_2016,5,0)</f>
        <v>948600</v>
      </c>
      <c r="F10" s="206">
        <f>HLOOKUP($B10,'Tabla Homol.Dic.2016-Nov.2017'!Escala_2016,6,0)</f>
        <v>132290</v>
      </c>
      <c r="G10" s="205">
        <f>HLOOKUP($B10,'Tabla Homol.Dic.2016-Nov.2017'!Escala_2016,7,0)</f>
        <v>169214</v>
      </c>
      <c r="H10" s="205">
        <f>HLOOKUP($B10,'Tabla Homol.Dic.2016-Nov.2017'!Escala_2016,8,0)</f>
        <v>18938</v>
      </c>
      <c r="I10" s="205">
        <f>HLOOKUP($B10,'Tabla Homol.Dic.2016-Nov.2017'!Escala_2016,9,0)</f>
        <v>69742</v>
      </c>
      <c r="J10" s="205">
        <f>HLOOKUP($B10,'Tabla Homol.Dic.2016-Nov.2017'!Escala_2016,10,0)</f>
        <v>29873</v>
      </c>
      <c r="K10" s="205">
        <f>HLOOKUP($B10,'Tabla Homol.Dic.2016-Nov.2017'!Escala_2016,11,0)</f>
        <v>0</v>
      </c>
      <c r="L10" s="205">
        <f>HLOOKUP($B10,'Tabla Homol.Dic.2016-Nov.2017'!Escala_2016,12,0)</f>
        <v>0</v>
      </c>
      <c r="M10" s="205">
        <f>HLOOKUP($B10,'Tabla Homol.Dic.2016-Nov.2017'!Escala_2016,13,0)</f>
        <v>0</v>
      </c>
      <c r="N10" s="205">
        <f>HLOOKUP($B10,'Tabla Homol.Dic.2016-Nov.2017'!Escala_2016,14,0)</f>
        <v>0</v>
      </c>
      <c r="O10" s="206">
        <f>HLOOKUP($B10,'Tabla Homol.Dic.2016-Nov.2017'!Escala_2016,15,0)</f>
        <v>374159</v>
      </c>
      <c r="P10" s="203">
        <f t="shared" si="0"/>
        <v>2316860</v>
      </c>
      <c r="Q10" s="207">
        <f t="shared" si="2"/>
        <v>187079.5</v>
      </c>
      <c r="S10" s="218">
        <f t="shared" si="1"/>
        <v>2374781.5</v>
      </c>
    </row>
    <row r="11" spans="1:19" s="204" customFormat="1" ht="12" x14ac:dyDescent="0.2">
      <c r="A11" s="204">
        <f>+C11/30*2</f>
        <v>29161.933333333334</v>
      </c>
      <c r="B11" s="200">
        <v>8</v>
      </c>
      <c r="C11" s="205">
        <f>HLOOKUP($B11,'Tabla Homol.Dic.2016-Nov.2017'!Escala_2016,3,0)</f>
        <v>437429</v>
      </c>
      <c r="D11" s="206">
        <f>HLOOKUP($B11,'Tabla Homol.Dic.2016-Nov.2017'!Escala_2016,4,0)</f>
        <v>94047</v>
      </c>
      <c r="E11" s="205">
        <f>HLOOKUP($B11,'Tabla Homol.Dic.2016-Nov.2017'!Escala_2016,5,0)</f>
        <v>728328</v>
      </c>
      <c r="F11" s="206">
        <f>HLOOKUP($B11,'Tabla Homol.Dic.2016-Nov.2017'!Escala_2016,6,0)</f>
        <v>122480</v>
      </c>
      <c r="G11" s="205">
        <f>HLOOKUP($B11,'Tabla Homol.Dic.2016-Nov.2017'!Escala_2016,7,0)</f>
        <v>129068</v>
      </c>
      <c r="H11" s="205">
        <f>HLOOKUP($B11,'Tabla Homol.Dic.2016-Nov.2017'!Escala_2016,8,0)</f>
        <v>18938</v>
      </c>
      <c r="I11" s="205">
        <f>HLOOKUP($B11,'Tabla Homol.Dic.2016-Nov.2017'!Escala_2016,9,0)</f>
        <v>53212</v>
      </c>
      <c r="J11" s="205">
        <f>HLOOKUP($B11,'Tabla Homol.Dic.2016-Nov.2017'!Escala_2016,10,0)</f>
        <v>29873</v>
      </c>
      <c r="K11" s="205">
        <f>HLOOKUP($B11,'Tabla Homol.Dic.2016-Nov.2017'!Escala_2016,11,0)</f>
        <v>0</v>
      </c>
      <c r="L11" s="205">
        <f>HLOOKUP($B11,'Tabla Homol.Dic.2016-Nov.2017'!Escala_2016,12,0)</f>
        <v>0</v>
      </c>
      <c r="M11" s="205">
        <f>HLOOKUP($B11,'Tabla Homol.Dic.2016-Nov.2017'!Escala_2016,13,0)</f>
        <v>0</v>
      </c>
      <c r="N11" s="205">
        <f>HLOOKUP($B11,'Tabla Homol.Dic.2016-Nov.2017'!Escala_2016,14,0)</f>
        <v>0</v>
      </c>
      <c r="O11" s="206">
        <f>HLOOKUP($B11,'Tabla Homol.Dic.2016-Nov.2017'!Escala_2016,15,0)</f>
        <v>335578</v>
      </c>
      <c r="P11" s="203">
        <f t="shared" si="0"/>
        <v>1948953</v>
      </c>
      <c r="Q11" s="207">
        <f t="shared" si="2"/>
        <v>167789</v>
      </c>
      <c r="S11" s="218">
        <f t="shared" si="1"/>
        <v>1997676.8249999997</v>
      </c>
    </row>
    <row r="12" spans="1:19" s="204" customFormat="1" ht="12" x14ac:dyDescent="0.2">
      <c r="B12" s="200">
        <v>9</v>
      </c>
      <c r="C12" s="205">
        <f>HLOOKUP($B12,'Tabla Homol.Dic.2016-Nov.2017'!Escala_2016,3,0)</f>
        <v>404987</v>
      </c>
      <c r="D12" s="206">
        <f>HLOOKUP($B12,'Tabla Homol.Dic.2016-Nov.2017'!Escala_2016,4,0)</f>
        <v>87072</v>
      </c>
      <c r="E12" s="205">
        <f>HLOOKUP($B12,'Tabla Homol.Dic.2016-Nov.2017'!Escala_2016,5,0)</f>
        <v>559632</v>
      </c>
      <c r="F12" s="206">
        <f>HLOOKUP($B12,'Tabla Homol.Dic.2016-Nov.2017'!Escala_2016,6,0)</f>
        <v>113396</v>
      </c>
      <c r="G12" s="205">
        <f>HLOOKUP($B12,'Tabla Homol.Dic.2016-Nov.2017'!Escala_2016,7,0)</f>
        <v>98402</v>
      </c>
      <c r="H12" s="205">
        <f>HLOOKUP($B12,'Tabla Homol.Dic.2016-Nov.2017'!Escala_2016,8,0)</f>
        <v>18938</v>
      </c>
      <c r="I12" s="205">
        <f>HLOOKUP($B12,'Tabla Homol.Dic.2016-Nov.2017'!Escala_2016,9,0)</f>
        <v>40562</v>
      </c>
      <c r="J12" s="205">
        <f>HLOOKUP($B12,'Tabla Homol.Dic.2016-Nov.2017'!Escala_2016,10,0)</f>
        <v>29873</v>
      </c>
      <c r="K12" s="205">
        <f>HLOOKUP($B12,'Tabla Homol.Dic.2016-Nov.2017'!Escala_2016,11,0)</f>
        <v>0</v>
      </c>
      <c r="L12" s="205">
        <f>HLOOKUP($B12,'Tabla Homol.Dic.2016-Nov.2017'!Escala_2016,12,0)</f>
        <v>0</v>
      </c>
      <c r="M12" s="205">
        <f>HLOOKUP($B12,'Tabla Homol.Dic.2016-Nov.2017'!Escala_2016,13,0)</f>
        <v>0</v>
      </c>
      <c r="N12" s="205">
        <f>HLOOKUP($B12,'Tabla Homol.Dic.2016-Nov.2017'!Escala_2016,14,0)</f>
        <v>0</v>
      </c>
      <c r="O12" s="206">
        <f>HLOOKUP($B12,'Tabla Homol.Dic.2016-Nov.2017'!Escala_2016,15,0)</f>
        <v>303683</v>
      </c>
      <c r="P12" s="217">
        <f t="shared" si="0"/>
        <v>1656545</v>
      </c>
      <c r="Q12" s="207">
        <f t="shared" si="2"/>
        <v>151841.5</v>
      </c>
      <c r="S12" s="218">
        <f t="shared" si="1"/>
        <v>1697958.6249999998</v>
      </c>
    </row>
    <row r="13" spans="1:19" s="204" customFormat="1" ht="12" x14ac:dyDescent="0.2">
      <c r="B13" s="200">
        <v>10</v>
      </c>
      <c r="C13" s="205">
        <f>HLOOKUP($B13,'Tabla Homol.Dic.2016-Nov.2017'!Escala_2016,3,0)</f>
        <v>375015</v>
      </c>
      <c r="D13" s="206">
        <f>HLOOKUP($B13,'Tabla Homol.Dic.2016-Nov.2017'!Escala_2016,4,0)</f>
        <v>80628</v>
      </c>
      <c r="E13" s="205">
        <f>HLOOKUP($B13,'Tabla Homol.Dic.2016-Nov.2017'!Escala_2016,5,0)</f>
        <v>423020</v>
      </c>
      <c r="F13" s="206">
        <f>HLOOKUP($B13,'Tabla Homol.Dic.2016-Nov.2017'!Escala_2016,6,0)</f>
        <v>105004</v>
      </c>
      <c r="G13" s="205">
        <f>HLOOKUP($B13,'Tabla Homol.Dic.2016-Nov.2017'!Escala_2016,7,0)</f>
        <v>73541</v>
      </c>
      <c r="H13" s="205">
        <f>HLOOKUP($B13,'Tabla Homol.Dic.2016-Nov.2017'!Escala_2016,8,0)</f>
        <v>18938</v>
      </c>
      <c r="I13" s="205">
        <f>HLOOKUP($B13,'Tabla Homol.Dic.2016-Nov.2017'!Escala_2016,9,0)</f>
        <v>30336</v>
      </c>
      <c r="J13" s="205">
        <f>HLOOKUP($B13,'Tabla Homol.Dic.2016-Nov.2017'!Escala_2016,10,0)</f>
        <v>29873</v>
      </c>
      <c r="K13" s="205">
        <f>HLOOKUP($B13,'Tabla Homol.Dic.2016-Nov.2017'!Escala_2016,11,0)</f>
        <v>0</v>
      </c>
      <c r="L13" s="205">
        <f>HLOOKUP($B13,'Tabla Homol.Dic.2016-Nov.2017'!Escala_2016,12,0)</f>
        <v>0</v>
      </c>
      <c r="M13" s="205">
        <f>HLOOKUP($B13,'Tabla Homol.Dic.2016-Nov.2017'!Escala_2016,13,0)</f>
        <v>0</v>
      </c>
      <c r="N13" s="205">
        <f>HLOOKUP($B13,'Tabla Homol.Dic.2016-Nov.2017'!Escala_2016,14,0)</f>
        <v>0</v>
      </c>
      <c r="O13" s="206">
        <f>HLOOKUP($B13,'Tabla Homol.Dic.2016-Nov.2017'!Escala_2016,15,0)</f>
        <v>274823</v>
      </c>
      <c r="P13" s="217">
        <f t="shared" si="0"/>
        <v>1411178</v>
      </c>
      <c r="Q13" s="207">
        <f t="shared" si="2"/>
        <v>137411.5</v>
      </c>
      <c r="S13" s="218">
        <f t="shared" si="1"/>
        <v>1446457.45</v>
      </c>
    </row>
    <row r="14" spans="1:19" s="204" customFormat="1" ht="12" x14ac:dyDescent="0.2">
      <c r="B14" s="200">
        <v>11</v>
      </c>
      <c r="C14" s="205">
        <f>HLOOKUP($B14,'Tabla Homol.Dic.2016-Nov.2017'!Escala_2016,3,0)</f>
        <v>347260</v>
      </c>
      <c r="D14" s="206">
        <f>HLOOKUP($B14,'Tabla Homol.Dic.2016-Nov.2017'!Escala_2016,4,0)</f>
        <v>74660</v>
      </c>
      <c r="E14" s="205">
        <f>HLOOKUP($B14,'Tabla Homol.Dic.2016-Nov.2017'!Escala_2016,5,0)</f>
        <v>319639</v>
      </c>
      <c r="F14" s="206">
        <f>HLOOKUP($B14,'Tabla Homol.Dic.2016-Nov.2017'!Escala_2016,6,0)</f>
        <v>97233</v>
      </c>
      <c r="G14" s="205">
        <f>HLOOKUP($B14,'Tabla Homol.Dic.2016-Nov.2017'!Escala_2016,7,0)</f>
        <v>54814</v>
      </c>
      <c r="H14" s="205">
        <f>HLOOKUP($B14,'Tabla Homol.Dic.2016-Nov.2017'!Escala_2016,8,0)</f>
        <v>18938</v>
      </c>
      <c r="I14" s="205">
        <f>HLOOKUP($B14,'Tabla Homol.Dic.2016-Nov.2017'!Escala_2016,9,0)</f>
        <v>22581</v>
      </c>
      <c r="J14" s="205">
        <f>HLOOKUP($B14,'Tabla Homol.Dic.2016-Nov.2017'!Escala_2016,10,0)</f>
        <v>29873</v>
      </c>
      <c r="K14" s="205">
        <f>HLOOKUP($B14,'Tabla Homol.Dic.2016-Nov.2017'!Escala_2016,11,0)</f>
        <v>0</v>
      </c>
      <c r="L14" s="205">
        <f>HLOOKUP($B14,'Tabla Homol.Dic.2016-Nov.2017'!Escala_2016,12,0)</f>
        <v>0</v>
      </c>
      <c r="M14" s="205">
        <f>HLOOKUP($B14,'Tabla Homol.Dic.2016-Nov.2017'!Escala_2016,13,0)</f>
        <v>0</v>
      </c>
      <c r="N14" s="205">
        <f>HLOOKUP($B14,'Tabla Homol.Dic.2016-Nov.2017'!Escala_2016,14,0)</f>
        <v>0</v>
      </c>
      <c r="O14" s="206">
        <f>HLOOKUP($B14,'Tabla Homol.Dic.2016-Nov.2017'!Escala_2016,15,0)</f>
        <v>248712</v>
      </c>
      <c r="P14" s="203">
        <f t="shared" si="0"/>
        <v>1213710</v>
      </c>
      <c r="Q14" s="207">
        <f t="shared" si="2"/>
        <v>124356</v>
      </c>
      <c r="S14" s="218">
        <f t="shared" si="1"/>
        <v>1244052.75</v>
      </c>
    </row>
    <row r="15" spans="1:19" s="204" customFormat="1" ht="12" x14ac:dyDescent="0.2">
      <c r="B15" s="200">
        <v>12</v>
      </c>
      <c r="C15" s="205">
        <f>HLOOKUP($B15,'Tabla Homol.Dic.2016-Nov.2017'!Escala_2016,3,0)</f>
        <v>321537</v>
      </c>
      <c r="D15" s="206">
        <f>HLOOKUP($B15,'Tabla Homol.Dic.2016-Nov.2017'!Escala_2016,4,0)</f>
        <v>69131</v>
      </c>
      <c r="E15" s="205">
        <f>HLOOKUP($B15,'Tabla Homol.Dic.2016-Nov.2017'!Escala_2016,5,0)</f>
        <v>235935</v>
      </c>
      <c r="F15" s="206">
        <f>HLOOKUP($B15,'Tabla Homol.Dic.2016-Nov.2017'!Escala_2016,6,0)</f>
        <v>90031</v>
      </c>
      <c r="G15" s="205">
        <f>HLOOKUP($B15,'Tabla Homol.Dic.2016-Nov.2017'!Escala_2016,7,0)</f>
        <v>46358</v>
      </c>
      <c r="H15" s="205">
        <f>HLOOKUP($B15,'Tabla Homol.Dic.2016-Nov.2017'!Escala_2016,8,0)</f>
        <v>70475</v>
      </c>
      <c r="I15" s="205">
        <f>HLOOKUP($B15,'Tabla Homol.Dic.2016-Nov.2017'!Escala_2016,9,0)</f>
        <v>18037</v>
      </c>
      <c r="J15" s="205">
        <f>HLOOKUP($B15,'Tabla Homol.Dic.2016-Nov.2017'!Escala_2016,10,0)</f>
        <v>49354</v>
      </c>
      <c r="K15" s="205">
        <f>HLOOKUP($B15,'Tabla Homol.Dic.2016-Nov.2017'!Escala_2016,11,0)</f>
        <v>0</v>
      </c>
      <c r="L15" s="205">
        <f>HLOOKUP($B15,'Tabla Homol.Dic.2016-Nov.2017'!Escala_2016,12,0)</f>
        <v>0</v>
      </c>
      <c r="M15" s="205">
        <f>HLOOKUP($B15,'Tabla Homol.Dic.2016-Nov.2017'!Escala_2016,13,0)</f>
        <v>0</v>
      </c>
      <c r="N15" s="205">
        <f>HLOOKUP($B15,'Tabla Homol.Dic.2016-Nov.2017'!Escala_2016,14,0)</f>
        <v>0</v>
      </c>
      <c r="O15" s="206">
        <f>HLOOKUP($B15,'Tabla Homol.Dic.2016-Nov.2017'!Escala_2016,15,0)</f>
        <v>225077</v>
      </c>
      <c r="P15" s="203">
        <f t="shared" si="0"/>
        <v>1125935</v>
      </c>
      <c r="Q15" s="207">
        <f t="shared" si="2"/>
        <v>112538.5</v>
      </c>
      <c r="S15" s="218">
        <f t="shared" si="1"/>
        <v>1154083.375</v>
      </c>
    </row>
    <row r="16" spans="1:19" s="204" customFormat="1" ht="12" x14ac:dyDescent="0.2">
      <c r="B16" s="200">
        <v>13</v>
      </c>
      <c r="C16" s="205">
        <f>HLOOKUP($B16,'Tabla Homol.Dic.2016-Nov.2017'!Escala_2016,3,0)</f>
        <v>297708</v>
      </c>
      <c r="D16" s="206">
        <f>HLOOKUP($B16,'Tabla Homol.Dic.2016-Nov.2017'!Escala_2016,4,0)</f>
        <v>64008</v>
      </c>
      <c r="E16" s="205">
        <f>HLOOKUP($B16,'Tabla Homol.Dic.2016-Nov.2017'!Escala_2016,5,0)</f>
        <v>175570</v>
      </c>
      <c r="F16" s="206">
        <f>HLOOKUP($B16,'Tabla Homol.Dic.2016-Nov.2017'!Escala_2016,6,0)</f>
        <v>83358</v>
      </c>
      <c r="G16" s="205">
        <f>HLOOKUP($B16,'Tabla Homol.Dic.2016-Nov.2017'!Escala_2016,7,0)</f>
        <v>34224</v>
      </c>
      <c r="H16" s="205">
        <f>HLOOKUP($B16,'Tabla Homol.Dic.2016-Nov.2017'!Escala_2016,8,0)</f>
        <v>68390</v>
      </c>
      <c r="I16" s="205">
        <f>HLOOKUP($B16,'Tabla Homol.Dic.2016-Nov.2017'!Escala_2016,9,0)</f>
        <v>13016</v>
      </c>
      <c r="J16" s="205">
        <f>HLOOKUP($B16,'Tabla Homol.Dic.2016-Nov.2017'!Escala_2016,10,0)</f>
        <v>49354</v>
      </c>
      <c r="K16" s="205">
        <f>HLOOKUP($B16,'Tabla Homol.Dic.2016-Nov.2017'!Escala_2016,11,0)</f>
        <v>0</v>
      </c>
      <c r="L16" s="205">
        <f>HLOOKUP($B16,'Tabla Homol.Dic.2016-Nov.2017'!Escala_2016,12,0)</f>
        <v>0</v>
      </c>
      <c r="M16" s="205">
        <f>HLOOKUP($B16,'Tabla Homol.Dic.2016-Nov.2017'!Escala_2016,13,0)</f>
        <v>0</v>
      </c>
      <c r="N16" s="205">
        <f>HLOOKUP($B16,'Tabla Homol.Dic.2016-Nov.2017'!Escala_2016,14,0)</f>
        <v>0</v>
      </c>
      <c r="O16" s="206">
        <f>HLOOKUP($B16,'Tabla Homol.Dic.2016-Nov.2017'!Escala_2016,15,0)</f>
        <v>0</v>
      </c>
      <c r="P16" s="203">
        <f t="shared" si="0"/>
        <v>785628</v>
      </c>
      <c r="Q16" s="207">
        <f t="shared" si="2"/>
        <v>0</v>
      </c>
      <c r="S16" s="218">
        <f t="shared" si="1"/>
        <v>805268.7</v>
      </c>
    </row>
    <row r="17" spans="1:19" s="204" customFormat="1" ht="12" x14ac:dyDescent="0.2">
      <c r="B17" s="200">
        <v>14</v>
      </c>
      <c r="C17" s="205">
        <f>HLOOKUP($B17,'Tabla Homol.Dic.2016-Nov.2017'!Escala_2016,3,0)</f>
        <v>275610</v>
      </c>
      <c r="D17" s="206">
        <f>HLOOKUP($B17,'Tabla Homol.Dic.2016-Nov.2017'!Escala_2016,4,0)</f>
        <v>59255</v>
      </c>
      <c r="E17" s="205">
        <f>HLOOKUP($B17,'Tabla Homol.Dic.2016-Nov.2017'!Escala_2016,5,0)</f>
        <v>132622</v>
      </c>
      <c r="F17" s="206">
        <f>HLOOKUP($B17,'Tabla Homol.Dic.2016-Nov.2017'!Escala_2016,6,0)</f>
        <v>77171</v>
      </c>
      <c r="G17" s="205">
        <f>HLOOKUP($B17,'Tabla Homol.Dic.2016-Nov.2017'!Escala_2016,7,0)</f>
        <v>25805</v>
      </c>
      <c r="H17" s="205">
        <f>HLOOKUP($B17,'Tabla Homol.Dic.2016-Nov.2017'!Escala_2016,8,0)</f>
        <v>67844</v>
      </c>
      <c r="I17" s="205">
        <f>HLOOKUP($B17,'Tabla Homol.Dic.2016-Nov.2017'!Escala_2016,9,0)</f>
        <v>9622</v>
      </c>
      <c r="J17" s="205">
        <f>HLOOKUP($B17,'Tabla Homol.Dic.2016-Nov.2017'!Escala_2016,10,0)</f>
        <v>49354</v>
      </c>
      <c r="K17" s="205">
        <f>HLOOKUP($B17,'Tabla Homol.Dic.2016-Nov.2017'!Escala_2016,11,0)</f>
        <v>0</v>
      </c>
      <c r="L17" s="205">
        <f>HLOOKUP($B17,'Tabla Homol.Dic.2016-Nov.2017'!Escala_2016,12,0)</f>
        <v>0</v>
      </c>
      <c r="M17" s="205">
        <f>HLOOKUP($B17,'Tabla Homol.Dic.2016-Nov.2017'!Escala_2016,13,0)</f>
        <v>0</v>
      </c>
      <c r="N17" s="205">
        <f>HLOOKUP($B17,'Tabla Homol.Dic.2016-Nov.2017'!Escala_2016,14,0)</f>
        <v>0</v>
      </c>
      <c r="O17" s="206">
        <f>HLOOKUP($B17,'Tabla Homol.Dic.2016-Nov.2017'!Escala_2016,15,0)</f>
        <v>0</v>
      </c>
      <c r="P17" s="203">
        <f t="shared" si="0"/>
        <v>697283</v>
      </c>
      <c r="Q17" s="207">
        <f t="shared" si="2"/>
        <v>0</v>
      </c>
      <c r="S17" s="218">
        <f t="shared" si="1"/>
        <v>714715.07499999995</v>
      </c>
    </row>
    <row r="18" spans="1:19" s="204" customFormat="1" ht="12" x14ac:dyDescent="0.2">
      <c r="B18" s="200">
        <v>15</v>
      </c>
      <c r="C18" s="205">
        <f>HLOOKUP($B18,'Tabla Homol.Dic.2016-Nov.2017'!Escala_2016,3,0)</f>
        <v>255213</v>
      </c>
      <c r="D18" s="206">
        <f>HLOOKUP($B18,'Tabla Homol.Dic.2016-Nov.2017'!Escala_2016,4,0)</f>
        <v>54870</v>
      </c>
      <c r="E18" s="205">
        <f>HLOOKUP($B18,'Tabla Homol.Dic.2016-Nov.2017'!Escala_2016,5,0)</f>
        <v>106524</v>
      </c>
      <c r="F18" s="206">
        <f>HLOOKUP($B18,'Tabla Homol.Dic.2016-Nov.2017'!Escala_2016,6,0)</f>
        <v>71460</v>
      </c>
      <c r="G18" s="205">
        <f>HLOOKUP($B18,'Tabla Homol.Dic.2016-Nov.2017'!Escala_2016,7,0)</f>
        <v>20013</v>
      </c>
      <c r="H18" s="205">
        <f>HLOOKUP($B18,'Tabla Homol.Dic.2016-Nov.2017'!Escala_2016,8,0)</f>
        <v>58424</v>
      </c>
      <c r="I18" s="205">
        <f>HLOOKUP($B18,'Tabla Homol.Dic.2016-Nov.2017'!Escala_2016,9,0)</f>
        <v>7529</v>
      </c>
      <c r="J18" s="205">
        <f>HLOOKUP($B18,'Tabla Homol.Dic.2016-Nov.2017'!Escala_2016,10,0)</f>
        <v>49354</v>
      </c>
      <c r="K18" s="205">
        <f>HLOOKUP($B18,'Tabla Homol.Dic.2016-Nov.2017'!Escala_2016,11,0)</f>
        <v>0</v>
      </c>
      <c r="L18" s="205">
        <f>HLOOKUP($B18,'Tabla Homol.Dic.2016-Nov.2017'!Escala_2016,12,0)</f>
        <v>0</v>
      </c>
      <c r="M18" s="205">
        <f>HLOOKUP($B18,'Tabla Homol.Dic.2016-Nov.2017'!Escala_2016,13,0)</f>
        <v>0</v>
      </c>
      <c r="N18" s="205">
        <f>HLOOKUP($B18,'Tabla Homol.Dic.2016-Nov.2017'!Escala_2016,14,0)</f>
        <v>0</v>
      </c>
      <c r="O18" s="206">
        <f>HLOOKUP($B18,'Tabla Homol.Dic.2016-Nov.2017'!Escala_2016,15,0)</f>
        <v>0</v>
      </c>
      <c r="P18" s="203">
        <f t="shared" si="0"/>
        <v>623387</v>
      </c>
      <c r="Q18" s="207">
        <f t="shared" si="2"/>
        <v>0</v>
      </c>
      <c r="S18" s="218">
        <f t="shared" si="1"/>
        <v>638971.67499999993</v>
      </c>
    </row>
    <row r="19" spans="1:19" s="204" customFormat="1" ht="12" x14ac:dyDescent="0.2">
      <c r="B19" s="200">
        <v>16</v>
      </c>
      <c r="C19" s="205">
        <f>HLOOKUP($B19,'Tabla Homol.Dic.2016-Nov.2017'!Escala_2016,3,0)</f>
        <v>236263</v>
      </c>
      <c r="D19" s="206">
        <f>HLOOKUP($B19,'Tabla Homol.Dic.2016-Nov.2017'!Escala_2016,4,0)</f>
        <v>50797</v>
      </c>
      <c r="E19" s="205">
        <f>HLOOKUP($B19,'Tabla Homol.Dic.2016-Nov.2017'!Escala_2016,5,0)</f>
        <v>104619</v>
      </c>
      <c r="F19" s="206">
        <f>HLOOKUP($B19,'Tabla Homol.Dic.2016-Nov.2017'!Escala_2016,6,0)</f>
        <v>66154</v>
      </c>
      <c r="G19" s="205">
        <f>HLOOKUP($B19,'Tabla Homol.Dic.2016-Nov.2017'!Escala_2016,7,0)</f>
        <v>19491</v>
      </c>
      <c r="H19" s="205">
        <f>HLOOKUP($B19,'Tabla Homol.Dic.2016-Nov.2017'!Escala_2016,8,0)</f>
        <v>61554</v>
      </c>
      <c r="I19" s="205">
        <f>HLOOKUP($B19,'Tabla Homol.Dic.2016-Nov.2017'!Escala_2016,9,0)</f>
        <v>7314</v>
      </c>
      <c r="J19" s="205">
        <f>HLOOKUP($B19,'Tabla Homol.Dic.2016-Nov.2017'!Escala_2016,10,0)</f>
        <v>49354</v>
      </c>
      <c r="K19" s="205">
        <f>HLOOKUP($B19,'Tabla Homol.Dic.2016-Nov.2017'!Escala_2016,11,0)</f>
        <v>0</v>
      </c>
      <c r="L19" s="205">
        <f>HLOOKUP($B19,'Tabla Homol.Dic.2016-Nov.2017'!Escala_2016,12,0)</f>
        <v>0</v>
      </c>
      <c r="M19" s="205">
        <f>HLOOKUP($B19,'Tabla Homol.Dic.2016-Nov.2017'!Escala_2016,13,0)</f>
        <v>0</v>
      </c>
      <c r="N19" s="205">
        <f>HLOOKUP($B19,'Tabla Homol.Dic.2016-Nov.2017'!Escala_2016,14,0)</f>
        <v>0</v>
      </c>
      <c r="O19" s="206">
        <f>HLOOKUP($B19,'Tabla Homol.Dic.2016-Nov.2017'!Escala_2016,15,0)</f>
        <v>0</v>
      </c>
      <c r="P19" s="203">
        <f t="shared" si="0"/>
        <v>595546</v>
      </c>
      <c r="Q19" s="207">
        <f t="shared" si="2"/>
        <v>0</v>
      </c>
      <c r="S19" s="218">
        <f t="shared" si="1"/>
        <v>610434.64999999991</v>
      </c>
    </row>
    <row r="20" spans="1:19" s="204" customFormat="1" ht="12" x14ac:dyDescent="0.2">
      <c r="B20" s="200">
        <v>17</v>
      </c>
      <c r="C20" s="205">
        <f>HLOOKUP($B20,'Tabla Homol.Dic.2016-Nov.2017'!Escala_2016,3,0)</f>
        <v>218770</v>
      </c>
      <c r="D20" s="206">
        <f>HLOOKUP($B20,'Tabla Homol.Dic.2016-Nov.2017'!Escala_2016,4,0)</f>
        <v>47035</v>
      </c>
      <c r="E20" s="205">
        <f>HLOOKUP($B20,'Tabla Homol.Dic.2016-Nov.2017'!Escala_2016,5,0)</f>
        <v>80888</v>
      </c>
      <c r="F20" s="206">
        <f>HLOOKUP($B20,'Tabla Homol.Dic.2016-Nov.2017'!Escala_2016,6,0)</f>
        <v>61255</v>
      </c>
      <c r="G20" s="205">
        <f>HLOOKUP($B20,'Tabla Homol.Dic.2016-Nov.2017'!Escala_2016,7,0)</f>
        <v>14046</v>
      </c>
      <c r="H20" s="205">
        <f>HLOOKUP($B20,'Tabla Homol.Dic.2016-Nov.2017'!Escala_2016,8,0)</f>
        <v>57265</v>
      </c>
      <c r="I20" s="205">
        <f>HLOOKUP($B20,'Tabla Homol.Dic.2016-Nov.2017'!Escala_2016,9,0)</f>
        <v>5245</v>
      </c>
      <c r="J20" s="205">
        <f>HLOOKUP($B20,'Tabla Homol.Dic.2016-Nov.2017'!Escala_2016,10,0)</f>
        <v>49354</v>
      </c>
      <c r="K20" s="205">
        <f>HLOOKUP($B20,'Tabla Homol.Dic.2016-Nov.2017'!Escala_2016,11,0)</f>
        <v>0</v>
      </c>
      <c r="L20" s="205">
        <f>HLOOKUP($B20,'Tabla Homol.Dic.2016-Nov.2017'!Escala_2016,12,0)</f>
        <v>0</v>
      </c>
      <c r="M20" s="205">
        <f>HLOOKUP($B20,'Tabla Homol.Dic.2016-Nov.2017'!Escala_2016,13,0)</f>
        <v>0</v>
      </c>
      <c r="N20" s="205">
        <f>HLOOKUP($B20,'Tabla Homol.Dic.2016-Nov.2017'!Escala_2016,14,0)</f>
        <v>0</v>
      </c>
      <c r="O20" s="206">
        <f>HLOOKUP($B20,'Tabla Homol.Dic.2016-Nov.2017'!Escala_2016,15,0)</f>
        <v>0</v>
      </c>
      <c r="P20" s="203">
        <f t="shared" si="0"/>
        <v>533858</v>
      </c>
      <c r="Q20" s="207">
        <f t="shared" si="2"/>
        <v>0</v>
      </c>
      <c r="S20" s="218">
        <f t="shared" si="1"/>
        <v>547204.44999999995</v>
      </c>
    </row>
    <row r="21" spans="1:19" s="204" customFormat="1" ht="12" x14ac:dyDescent="0.2">
      <c r="B21" s="200">
        <v>18</v>
      </c>
      <c r="C21" s="205">
        <f>HLOOKUP($B21,'Tabla Homol.Dic.2016-Nov.2017'!Escala_2016,3,0)</f>
        <v>202570</v>
      </c>
      <c r="D21" s="206">
        <f>HLOOKUP($B21,'Tabla Homol.Dic.2016-Nov.2017'!Escala_2016,4,0)</f>
        <v>43552</v>
      </c>
      <c r="E21" s="205">
        <f>HLOOKUP($B21,'Tabla Homol.Dic.2016-Nov.2017'!Escala_2016,5,0)</f>
        <v>78335</v>
      </c>
      <c r="F21" s="206">
        <f>HLOOKUP($B21,'Tabla Homol.Dic.2016-Nov.2017'!Escala_2016,6,0)</f>
        <v>56720</v>
      </c>
      <c r="G21" s="205">
        <f>HLOOKUP($B21,'Tabla Homol.Dic.2016-Nov.2017'!Escala_2016,7,0)</f>
        <v>12844</v>
      </c>
      <c r="H21" s="205">
        <f>HLOOKUP($B21,'Tabla Homol.Dic.2016-Nov.2017'!Escala_2016,8,0)</f>
        <v>57265</v>
      </c>
      <c r="I21" s="205">
        <f>HLOOKUP($B21,'Tabla Homol.Dic.2016-Nov.2017'!Escala_2016,9,0)</f>
        <v>4741</v>
      </c>
      <c r="J21" s="205">
        <f>HLOOKUP($B21,'Tabla Homol.Dic.2016-Nov.2017'!Escala_2016,10,0)</f>
        <v>49354</v>
      </c>
      <c r="K21" s="205">
        <f>HLOOKUP($B21,'Tabla Homol.Dic.2016-Nov.2017'!Escala_2016,11,0)</f>
        <v>0</v>
      </c>
      <c r="L21" s="205">
        <f>HLOOKUP($B21,'Tabla Homol.Dic.2016-Nov.2017'!Escala_2016,12,0)</f>
        <v>0</v>
      </c>
      <c r="M21" s="205">
        <f>HLOOKUP($B21,'Tabla Homol.Dic.2016-Nov.2017'!Escala_2016,13,0)</f>
        <v>0</v>
      </c>
      <c r="N21" s="205">
        <f>HLOOKUP($B21,'Tabla Homol.Dic.2016-Nov.2017'!Escala_2016,14,0)</f>
        <v>0</v>
      </c>
      <c r="O21" s="206">
        <f>HLOOKUP($B21,'Tabla Homol.Dic.2016-Nov.2017'!Escala_2016,15,0)</f>
        <v>0</v>
      </c>
      <c r="P21" s="203">
        <f t="shared" si="0"/>
        <v>505381</v>
      </c>
      <c r="Q21" s="207">
        <f t="shared" si="2"/>
        <v>0</v>
      </c>
      <c r="S21" s="218">
        <f t="shared" si="1"/>
        <v>518015.52499999997</v>
      </c>
    </row>
    <row r="22" spans="1:19" s="204" customFormat="1" ht="12" x14ac:dyDescent="0.2">
      <c r="B22" s="200">
        <v>19</v>
      </c>
      <c r="C22" s="205">
        <f>HLOOKUP($B22,'Tabla Homol.Dic.2016-Nov.2017'!Escala_2016,3,0)</f>
        <v>189322</v>
      </c>
      <c r="D22" s="206">
        <f>HLOOKUP($B22,'Tabla Homol.Dic.2016-Nov.2017'!Escala_2016,4,0)</f>
        <v>37864</v>
      </c>
      <c r="E22" s="205">
        <f>HLOOKUP($B22,'Tabla Homol.Dic.2016-Nov.2017'!Escala_2016,5,0)</f>
        <v>85677</v>
      </c>
      <c r="F22" s="206">
        <f>HLOOKUP($B22,'Tabla Homol.Dic.2016-Nov.2017'!Escala_2016,6,0)</f>
        <v>53011</v>
      </c>
      <c r="G22" s="205">
        <f>HLOOKUP($B22,'Tabla Homol.Dic.2016-Nov.2017'!Escala_2016,7,0)</f>
        <v>13022</v>
      </c>
      <c r="H22" s="205">
        <f>HLOOKUP($B22,'Tabla Homol.Dic.2016-Nov.2017'!Escala_2016,8,0)</f>
        <v>59688</v>
      </c>
      <c r="I22" s="205">
        <f>HLOOKUP($B22,'Tabla Homol.Dic.2016-Nov.2017'!Escala_2016,9,0)</f>
        <v>4817</v>
      </c>
      <c r="J22" s="205">
        <f>HLOOKUP($B22,'Tabla Homol.Dic.2016-Nov.2017'!Escala_2016,10,0)</f>
        <v>49354</v>
      </c>
      <c r="K22" s="205">
        <f>HLOOKUP($B22,'Tabla Homol.Dic.2016-Nov.2017'!Escala_2016,11,0)</f>
        <v>0</v>
      </c>
      <c r="L22" s="205">
        <f>HLOOKUP($B22,'Tabla Homol.Dic.2016-Nov.2017'!Escala_2016,12,0)</f>
        <v>0</v>
      </c>
      <c r="M22" s="205">
        <f>HLOOKUP($B22,'Tabla Homol.Dic.2016-Nov.2017'!Escala_2016,13,0)</f>
        <v>0</v>
      </c>
      <c r="N22" s="205">
        <f>HLOOKUP($B22,'Tabla Homol.Dic.2016-Nov.2017'!Escala_2016,14,0)</f>
        <v>0</v>
      </c>
      <c r="O22" s="206">
        <f>HLOOKUP($B22,'Tabla Homol.Dic.2016-Nov.2017'!Escala_2016,15,0)</f>
        <v>0</v>
      </c>
      <c r="P22" s="203">
        <f t="shared" si="0"/>
        <v>492755</v>
      </c>
      <c r="Q22" s="207">
        <f t="shared" si="2"/>
        <v>0</v>
      </c>
      <c r="S22" s="218">
        <f t="shared" si="1"/>
        <v>505073.87499999994</v>
      </c>
    </row>
    <row r="23" spans="1:19" s="204" customFormat="1" ht="12" x14ac:dyDescent="0.2">
      <c r="B23" s="200">
        <v>20</v>
      </c>
      <c r="C23" s="205">
        <f>HLOOKUP($B23,'Tabla Homol.Dic.2016-Nov.2017'!Escala_2016,3,0)</f>
        <v>176945</v>
      </c>
      <c r="D23" s="206">
        <f>HLOOKUP($B23,'Tabla Homol.Dic.2016-Nov.2017'!Escala_2016,4,0)</f>
        <v>35389</v>
      </c>
      <c r="E23" s="205">
        <f>HLOOKUP($B23,'Tabla Homol.Dic.2016-Nov.2017'!Escala_2016,5,0)</f>
        <v>67489</v>
      </c>
      <c r="F23" s="206">
        <f>HLOOKUP($B23,'Tabla Homol.Dic.2016-Nov.2017'!Escala_2016,6,0)</f>
        <v>49544</v>
      </c>
      <c r="G23" s="205">
        <f>HLOOKUP($B23,'Tabla Homol.Dic.2016-Nov.2017'!Escala_2016,7,0)</f>
        <v>8790</v>
      </c>
      <c r="H23" s="205">
        <f>HLOOKUP($B23,'Tabla Homol.Dic.2016-Nov.2017'!Escala_2016,8,0)</f>
        <v>57344</v>
      </c>
      <c r="I23" s="205">
        <f>HLOOKUP($B23,'Tabla Homol.Dic.2016-Nov.2017'!Escala_2016,9,0)</f>
        <v>3137</v>
      </c>
      <c r="J23" s="205">
        <f>HLOOKUP($B23,'Tabla Homol.Dic.2016-Nov.2017'!Escala_2016,10,0)</f>
        <v>49354</v>
      </c>
      <c r="K23" s="205">
        <f>HLOOKUP($B23,'Tabla Homol.Dic.2016-Nov.2017'!Escala_2016,11,0)</f>
        <v>0</v>
      </c>
      <c r="L23" s="205">
        <f>HLOOKUP($B23,'Tabla Homol.Dic.2016-Nov.2017'!Escala_2016,12,0)</f>
        <v>0</v>
      </c>
      <c r="M23" s="205">
        <f>HLOOKUP($B23,'Tabla Homol.Dic.2016-Nov.2017'!Escala_2016,13,0)</f>
        <v>0</v>
      </c>
      <c r="N23" s="205">
        <f>HLOOKUP($B23,'Tabla Homol.Dic.2016-Nov.2017'!Escala_2016,14,0)</f>
        <v>0</v>
      </c>
      <c r="O23" s="206">
        <f>HLOOKUP($B23,'Tabla Homol.Dic.2016-Nov.2017'!Escala_2016,15,0)</f>
        <v>0</v>
      </c>
      <c r="P23" s="203">
        <f t="shared" si="0"/>
        <v>447992</v>
      </c>
      <c r="Q23" s="207">
        <f t="shared" si="2"/>
        <v>0</v>
      </c>
      <c r="S23" s="218">
        <f t="shared" si="1"/>
        <v>459191.8</v>
      </c>
    </row>
    <row r="24" spans="1:19" s="212" customFormat="1" ht="12.75" x14ac:dyDescent="0.2">
      <c r="A24" s="213"/>
      <c r="O24" s="214"/>
    </row>
    <row r="25" spans="1:19" s="212" customFormat="1" ht="12.75" x14ac:dyDescent="0.2">
      <c r="A25" s="213"/>
      <c r="C25" s="214">
        <f>C19/30</f>
        <v>7875.4333333333334</v>
      </c>
      <c r="D25" s="212">
        <f>104619/30</f>
        <v>3487.3</v>
      </c>
      <c r="F25" s="212">
        <f>404987-375015</f>
        <v>29972</v>
      </c>
      <c r="O25" s="214">
        <f>1656545-303683</f>
        <v>1352862</v>
      </c>
      <c r="P25" s="212">
        <v>1</v>
      </c>
    </row>
    <row r="26" spans="1:19" s="212" customFormat="1" ht="12.75" x14ac:dyDescent="0.2">
      <c r="A26" s="213"/>
      <c r="C26" s="212">
        <f>4725/30</f>
        <v>157.5</v>
      </c>
      <c r="O26" s="214">
        <f>P13-O13</f>
        <v>1136355</v>
      </c>
      <c r="P26" s="214">
        <f>O25-O26</f>
        <v>216507</v>
      </c>
      <c r="Q26" s="212">
        <v>137412</v>
      </c>
    </row>
    <row r="27" spans="1:19" s="212" customFormat="1" ht="12.75" x14ac:dyDescent="0.2">
      <c r="A27" s="213"/>
      <c r="C27" s="212">
        <f>D19/30</f>
        <v>1693.2333333333333</v>
      </c>
      <c r="O27" s="214"/>
      <c r="Q27" s="214">
        <f>P26-Q26</f>
        <v>79095</v>
      </c>
    </row>
    <row r="28" spans="1:19" s="212" customFormat="1" ht="12.75" x14ac:dyDescent="0.2">
      <c r="A28" s="213"/>
      <c r="O28" s="214"/>
    </row>
    <row r="29" spans="1:19" s="216" customFormat="1" ht="15.75" x14ac:dyDescent="0.25">
      <c r="A29" s="329" t="s">
        <v>66</v>
      </c>
      <c r="B29" s="329"/>
      <c r="C29" s="329"/>
      <c r="D29" s="329"/>
      <c r="E29" s="329"/>
      <c r="F29" s="329"/>
      <c r="H29" s="329" t="s">
        <v>14</v>
      </c>
      <c r="I29" s="329"/>
      <c r="J29" s="329"/>
      <c r="K29" s="329"/>
      <c r="L29" s="329"/>
      <c r="M29" s="329"/>
      <c r="N29" s="329"/>
      <c r="O29" s="329"/>
      <c r="P29" s="329"/>
      <c r="Q29" s="329"/>
      <c r="R29" s="329"/>
    </row>
    <row r="30" spans="1:19" s="212" customFormat="1" ht="12.75" x14ac:dyDescent="0.2">
      <c r="A30" s="213"/>
      <c r="O30" s="214"/>
    </row>
    <row r="31" spans="1:19" x14ac:dyDescent="0.2">
      <c r="A31" s="322" t="s">
        <v>15</v>
      </c>
      <c r="B31" s="322" t="s">
        <v>16</v>
      </c>
      <c r="C31" s="322" t="s">
        <v>67</v>
      </c>
      <c r="D31" s="328" t="s">
        <v>18</v>
      </c>
      <c r="E31" s="328"/>
      <c r="F31" s="328"/>
      <c r="G31" s="196"/>
      <c r="H31" s="322" t="s">
        <v>19</v>
      </c>
      <c r="I31" s="325" t="s">
        <v>20</v>
      </c>
      <c r="J31" s="326"/>
      <c r="K31" s="326"/>
      <c r="L31" s="327"/>
      <c r="M31" s="323" t="s">
        <v>68</v>
      </c>
      <c r="N31" s="325" t="s">
        <v>69</v>
      </c>
      <c r="O31" s="326"/>
      <c r="P31" s="326"/>
      <c r="Q31" s="326"/>
      <c r="R31" s="327"/>
    </row>
    <row r="32" spans="1:19" x14ac:dyDescent="0.2">
      <c r="A32" s="322"/>
      <c r="B32" s="322"/>
      <c r="C32" s="322"/>
      <c r="D32" s="191" t="s">
        <v>23</v>
      </c>
      <c r="E32" s="191">
        <v>0.25</v>
      </c>
      <c r="F32" s="191">
        <v>0.5</v>
      </c>
      <c r="G32" s="196"/>
      <c r="H32" s="322"/>
      <c r="I32" s="191" t="str">
        <f>+C3</f>
        <v>SUELDO BASE</v>
      </c>
      <c r="J32" s="191" t="str">
        <f>+E3</f>
        <v>ASIG MUNICIPAL</v>
      </c>
      <c r="K32" s="191" t="str">
        <f>+H3</f>
        <v>Asig Unica Ley 18,717</v>
      </c>
      <c r="L32" s="191" t="str">
        <f>+J3</f>
        <v>LEY 19529</v>
      </c>
      <c r="M32" s="324"/>
      <c r="N32" s="191" t="s">
        <v>29</v>
      </c>
      <c r="O32" s="192">
        <v>0.15</v>
      </c>
      <c r="P32" s="191">
        <v>7.5999999999999998E-2</v>
      </c>
      <c r="Q32" s="191">
        <v>0.08</v>
      </c>
      <c r="R32" s="191">
        <v>0.30599999999999999</v>
      </c>
    </row>
    <row r="33" spans="1:18" s="204" customFormat="1" ht="12" x14ac:dyDescent="0.2">
      <c r="A33" s="208">
        <v>1</v>
      </c>
      <c r="B33" s="209">
        <f>VLOOKUP(A33,B3:C23,2,0)</f>
        <v>612609</v>
      </c>
      <c r="C33" s="209">
        <f>VLOOKUP(A33,B3:E23,4,0)</f>
        <v>2275312</v>
      </c>
      <c r="D33" s="209">
        <f>ROUND((B33+C33)/190,0)</f>
        <v>15200</v>
      </c>
      <c r="E33" s="198">
        <f>ROUND(D33*1.25,0)</f>
        <v>19000</v>
      </c>
      <c r="F33" s="198">
        <f>ROUND(D33*1.5,0)</f>
        <v>22800</v>
      </c>
      <c r="H33" s="208">
        <v>1</v>
      </c>
      <c r="I33" s="209">
        <f>VLOOKUP(H33,B4:C23,2,0)</f>
        <v>612609</v>
      </c>
      <c r="J33" s="209">
        <f>VLOOKUP(H33,B4:E23,4,0)</f>
        <v>2275312</v>
      </c>
      <c r="K33" s="209">
        <f>VLOOKUP(H33,B4:H23,7,0)</f>
        <v>18938</v>
      </c>
      <c r="L33" s="209">
        <f>VLOOKUP(H33,B4:J23,9,0)</f>
        <v>0</v>
      </c>
      <c r="M33" s="210">
        <f>SUM(I33:L33)</f>
        <v>2906859</v>
      </c>
      <c r="N33" s="211">
        <f>ROUND(M33*0.306,0)</f>
        <v>889499</v>
      </c>
      <c r="O33" s="203">
        <v>1308087</v>
      </c>
      <c r="P33" s="203">
        <v>662764</v>
      </c>
      <c r="Q33" s="203">
        <v>697646</v>
      </c>
      <c r="R33" s="206">
        <v>2668497</v>
      </c>
    </row>
    <row r="34" spans="1:18" s="204" customFormat="1" ht="12" x14ac:dyDescent="0.2">
      <c r="A34" s="208">
        <v>2</v>
      </c>
      <c r="B34" s="209">
        <f t="shared" ref="B34:B52" si="3">VLOOKUP(A34,B4:C24,2,0)</f>
        <v>578204</v>
      </c>
      <c r="C34" s="209">
        <f t="shared" ref="C34:C52" si="4">VLOOKUP(A34,B4:E24,4,0)</f>
        <v>2176813</v>
      </c>
      <c r="D34" s="209">
        <f t="shared" ref="D34:D52" si="5">ROUND((B34+C34)/190,0)</f>
        <v>14500</v>
      </c>
      <c r="E34" s="198">
        <f t="shared" ref="E34:E52" si="6">ROUND(D34*1.25,0)</f>
        <v>18125</v>
      </c>
      <c r="F34" s="198">
        <f t="shared" ref="F34:F52" si="7">ROUND(D34*1.5,0)</f>
        <v>21750</v>
      </c>
      <c r="H34" s="208">
        <v>2</v>
      </c>
      <c r="I34" s="209">
        <f t="shared" ref="I34:I52" si="8">VLOOKUP(H34,B5:C24,2,0)</f>
        <v>578204</v>
      </c>
      <c r="J34" s="209">
        <f t="shared" ref="J34:J52" si="9">VLOOKUP(H34,B5:E24,4,0)</f>
        <v>2176813</v>
      </c>
      <c r="K34" s="209">
        <f t="shared" ref="K34:K52" si="10">VLOOKUP(H34,B5:H24,7,0)</f>
        <v>18938</v>
      </c>
      <c r="L34" s="209">
        <f t="shared" ref="L34:L52" si="11">VLOOKUP(H34,B5:J24,9,0)</f>
        <v>0</v>
      </c>
      <c r="M34" s="210">
        <f t="shared" ref="M34:M52" si="12">SUM(I34:L34)</f>
        <v>2773955</v>
      </c>
      <c r="N34" s="211">
        <f t="shared" ref="N34:N52" si="13">ROUND(M34*0.306,0)</f>
        <v>848830</v>
      </c>
      <c r="O34" s="203">
        <v>1248280</v>
      </c>
      <c r="P34" s="203">
        <v>632462</v>
      </c>
      <c r="Q34" s="203">
        <v>665749</v>
      </c>
      <c r="R34" s="206">
        <v>2546491</v>
      </c>
    </row>
    <row r="35" spans="1:18" s="204" customFormat="1" ht="12" x14ac:dyDescent="0.2">
      <c r="A35" s="208">
        <v>3</v>
      </c>
      <c r="B35" s="209">
        <f t="shared" si="3"/>
        <v>610489</v>
      </c>
      <c r="C35" s="209">
        <f t="shared" si="4"/>
        <v>1795002</v>
      </c>
      <c r="D35" s="209">
        <f t="shared" si="5"/>
        <v>12660</v>
      </c>
      <c r="E35" s="198">
        <f t="shared" si="6"/>
        <v>15825</v>
      </c>
      <c r="F35" s="198">
        <f t="shared" si="7"/>
        <v>18990</v>
      </c>
      <c r="H35" s="208">
        <v>3</v>
      </c>
      <c r="I35" s="209">
        <f t="shared" si="8"/>
        <v>610489</v>
      </c>
      <c r="J35" s="209">
        <f t="shared" si="9"/>
        <v>1795002</v>
      </c>
      <c r="K35" s="209">
        <f t="shared" si="10"/>
        <v>18938</v>
      </c>
      <c r="L35" s="209">
        <f t="shared" si="11"/>
        <v>25978</v>
      </c>
      <c r="M35" s="210">
        <f t="shared" si="12"/>
        <v>2450407</v>
      </c>
      <c r="N35" s="211">
        <f t="shared" si="13"/>
        <v>749825</v>
      </c>
      <c r="O35" s="203">
        <v>1102683</v>
      </c>
      <c r="P35" s="203">
        <v>558693</v>
      </c>
      <c r="Q35" s="203">
        <v>588098</v>
      </c>
      <c r="R35" s="206">
        <v>2249474</v>
      </c>
    </row>
    <row r="36" spans="1:18" s="204" customFormat="1" ht="12" x14ac:dyDescent="0.2">
      <c r="A36" s="208">
        <v>4</v>
      </c>
      <c r="B36" s="209">
        <f t="shared" si="3"/>
        <v>575948</v>
      </c>
      <c r="C36" s="209">
        <f t="shared" si="4"/>
        <v>1741543</v>
      </c>
      <c r="D36" s="209">
        <f t="shared" si="5"/>
        <v>12197</v>
      </c>
      <c r="E36" s="198">
        <f t="shared" si="6"/>
        <v>15246</v>
      </c>
      <c r="F36" s="198">
        <f t="shared" si="7"/>
        <v>18296</v>
      </c>
      <c r="H36" s="208">
        <v>4</v>
      </c>
      <c r="I36" s="209">
        <f t="shared" si="8"/>
        <v>575948</v>
      </c>
      <c r="J36" s="209">
        <f t="shared" si="9"/>
        <v>1741543</v>
      </c>
      <c r="K36" s="209">
        <f t="shared" si="10"/>
        <v>18938</v>
      </c>
      <c r="L36" s="209">
        <f t="shared" si="11"/>
        <v>25978</v>
      </c>
      <c r="M36" s="210">
        <f t="shared" si="12"/>
        <v>2362407</v>
      </c>
      <c r="N36" s="211">
        <f t="shared" si="13"/>
        <v>722897</v>
      </c>
      <c r="O36" s="203">
        <v>1063083</v>
      </c>
      <c r="P36" s="203">
        <v>538629</v>
      </c>
      <c r="Q36" s="203">
        <v>566978</v>
      </c>
      <c r="R36" s="206">
        <v>2168690</v>
      </c>
    </row>
    <row r="37" spans="1:18" s="204" customFormat="1" ht="12" x14ac:dyDescent="0.2">
      <c r="A37" s="208">
        <v>5</v>
      </c>
      <c r="B37" s="209">
        <f t="shared" si="3"/>
        <v>543368</v>
      </c>
      <c r="C37" s="209">
        <f t="shared" si="4"/>
        <v>1496816</v>
      </c>
      <c r="D37" s="209">
        <f t="shared" si="5"/>
        <v>10738</v>
      </c>
      <c r="E37" s="198">
        <f t="shared" si="6"/>
        <v>13423</v>
      </c>
      <c r="F37" s="198">
        <f t="shared" si="7"/>
        <v>16107</v>
      </c>
      <c r="H37" s="208">
        <v>5</v>
      </c>
      <c r="I37" s="209">
        <f t="shared" si="8"/>
        <v>543368</v>
      </c>
      <c r="J37" s="209">
        <f t="shared" si="9"/>
        <v>1496816</v>
      </c>
      <c r="K37" s="209">
        <f t="shared" si="10"/>
        <v>18938</v>
      </c>
      <c r="L37" s="209">
        <f t="shared" si="11"/>
        <v>25978</v>
      </c>
      <c r="M37" s="210">
        <f t="shared" si="12"/>
        <v>2085100</v>
      </c>
      <c r="N37" s="211">
        <f t="shared" si="13"/>
        <v>638041</v>
      </c>
      <c r="O37" s="203">
        <v>938295</v>
      </c>
      <c r="P37" s="203">
        <v>475403</v>
      </c>
      <c r="Q37" s="203">
        <v>500424</v>
      </c>
      <c r="R37" s="206">
        <v>1914122</v>
      </c>
    </row>
    <row r="38" spans="1:18" s="204" customFormat="1" ht="12" x14ac:dyDescent="0.2">
      <c r="A38" s="208">
        <v>6</v>
      </c>
      <c r="B38" s="209">
        <f t="shared" si="3"/>
        <v>512571</v>
      </c>
      <c r="C38" s="209">
        <f t="shared" si="4"/>
        <v>1264924</v>
      </c>
      <c r="D38" s="209">
        <f t="shared" si="5"/>
        <v>9355</v>
      </c>
      <c r="E38" s="198">
        <f t="shared" si="6"/>
        <v>11694</v>
      </c>
      <c r="F38" s="198">
        <f t="shared" si="7"/>
        <v>14033</v>
      </c>
      <c r="H38" s="208">
        <v>6</v>
      </c>
      <c r="I38" s="209">
        <f t="shared" si="8"/>
        <v>512571</v>
      </c>
      <c r="J38" s="209">
        <f t="shared" si="9"/>
        <v>1264924</v>
      </c>
      <c r="K38" s="209">
        <f t="shared" si="10"/>
        <v>18938</v>
      </c>
      <c r="L38" s="209">
        <f t="shared" si="11"/>
        <v>29873</v>
      </c>
      <c r="M38" s="210">
        <f t="shared" si="12"/>
        <v>1826306</v>
      </c>
      <c r="N38" s="211">
        <f t="shared" si="13"/>
        <v>558850</v>
      </c>
      <c r="O38" s="203">
        <v>821838</v>
      </c>
      <c r="P38" s="203">
        <v>416398</v>
      </c>
      <c r="Q38" s="203">
        <v>438313</v>
      </c>
      <c r="R38" s="206">
        <v>1676549</v>
      </c>
    </row>
    <row r="39" spans="1:18" s="204" customFormat="1" ht="12" x14ac:dyDescent="0.2">
      <c r="A39" s="208">
        <v>7</v>
      </c>
      <c r="B39" s="209">
        <f t="shared" si="3"/>
        <v>472464</v>
      </c>
      <c r="C39" s="209">
        <f t="shared" si="4"/>
        <v>948600</v>
      </c>
      <c r="D39" s="209">
        <f t="shared" si="5"/>
        <v>7479</v>
      </c>
      <c r="E39" s="198">
        <f t="shared" si="6"/>
        <v>9349</v>
      </c>
      <c r="F39" s="198">
        <f t="shared" si="7"/>
        <v>11219</v>
      </c>
      <c r="H39" s="208">
        <v>7</v>
      </c>
      <c r="I39" s="209">
        <f t="shared" si="8"/>
        <v>472464</v>
      </c>
      <c r="J39" s="209">
        <f t="shared" si="9"/>
        <v>948600</v>
      </c>
      <c r="K39" s="209">
        <f t="shared" si="10"/>
        <v>18938</v>
      </c>
      <c r="L39" s="209">
        <f t="shared" si="11"/>
        <v>29873</v>
      </c>
      <c r="M39" s="210">
        <f t="shared" si="12"/>
        <v>1469875</v>
      </c>
      <c r="N39" s="211">
        <f t="shared" si="13"/>
        <v>449782</v>
      </c>
      <c r="O39" s="203">
        <v>661444</v>
      </c>
      <c r="P39" s="203">
        <v>335132</v>
      </c>
      <c r="Q39" s="203">
        <v>352770</v>
      </c>
      <c r="R39" s="206">
        <v>1349346</v>
      </c>
    </row>
    <row r="40" spans="1:18" s="204" customFormat="1" ht="12" x14ac:dyDescent="0.2">
      <c r="A40" s="208">
        <v>8</v>
      </c>
      <c r="B40" s="209">
        <f t="shared" si="3"/>
        <v>437429</v>
      </c>
      <c r="C40" s="209">
        <f t="shared" si="4"/>
        <v>728328</v>
      </c>
      <c r="D40" s="209">
        <f t="shared" si="5"/>
        <v>6136</v>
      </c>
      <c r="E40" s="198">
        <f t="shared" si="6"/>
        <v>7670</v>
      </c>
      <c r="F40" s="198">
        <f t="shared" si="7"/>
        <v>9204</v>
      </c>
      <c r="H40" s="208">
        <v>8</v>
      </c>
      <c r="I40" s="209">
        <f t="shared" si="8"/>
        <v>437429</v>
      </c>
      <c r="J40" s="209">
        <f t="shared" si="9"/>
        <v>728328</v>
      </c>
      <c r="K40" s="209">
        <f t="shared" si="10"/>
        <v>18938</v>
      </c>
      <c r="L40" s="209">
        <f t="shared" si="11"/>
        <v>29873</v>
      </c>
      <c r="M40" s="210">
        <f t="shared" si="12"/>
        <v>1214568</v>
      </c>
      <c r="N40" s="211">
        <f t="shared" si="13"/>
        <v>371658</v>
      </c>
      <c r="O40" s="203">
        <v>546556</v>
      </c>
      <c r="P40" s="203">
        <v>276922</v>
      </c>
      <c r="Q40" s="203">
        <v>291496</v>
      </c>
      <c r="R40" s="206">
        <v>1114974</v>
      </c>
    </row>
    <row r="41" spans="1:18" s="204" customFormat="1" ht="12" x14ac:dyDescent="0.2">
      <c r="A41" s="208">
        <v>9</v>
      </c>
      <c r="B41" s="209">
        <f t="shared" si="3"/>
        <v>404987</v>
      </c>
      <c r="C41" s="209">
        <f t="shared" si="4"/>
        <v>559632</v>
      </c>
      <c r="D41" s="209">
        <f t="shared" si="5"/>
        <v>5077</v>
      </c>
      <c r="E41" s="198">
        <f t="shared" si="6"/>
        <v>6346</v>
      </c>
      <c r="F41" s="198">
        <f t="shared" si="7"/>
        <v>7616</v>
      </c>
      <c r="H41" s="208">
        <v>9</v>
      </c>
      <c r="I41" s="209">
        <f t="shared" si="8"/>
        <v>404987</v>
      </c>
      <c r="J41" s="209">
        <f t="shared" si="9"/>
        <v>559632</v>
      </c>
      <c r="K41" s="209">
        <f t="shared" si="10"/>
        <v>18938</v>
      </c>
      <c r="L41" s="209">
        <f t="shared" si="11"/>
        <v>29873</v>
      </c>
      <c r="M41" s="210">
        <f t="shared" si="12"/>
        <v>1013430</v>
      </c>
      <c r="N41" s="211">
        <f t="shared" si="13"/>
        <v>310110</v>
      </c>
      <c r="O41" s="203">
        <v>456044</v>
      </c>
      <c r="P41" s="203">
        <v>231062</v>
      </c>
      <c r="Q41" s="203">
        <v>243223</v>
      </c>
      <c r="R41" s="206">
        <v>930329</v>
      </c>
    </row>
    <row r="42" spans="1:18" s="204" customFormat="1" ht="12" x14ac:dyDescent="0.2">
      <c r="A42" s="208">
        <v>10</v>
      </c>
      <c r="B42" s="209">
        <f t="shared" si="3"/>
        <v>375015</v>
      </c>
      <c r="C42" s="209">
        <f t="shared" si="4"/>
        <v>423020</v>
      </c>
      <c r="D42" s="209">
        <f t="shared" si="5"/>
        <v>4200</v>
      </c>
      <c r="E42" s="198">
        <f t="shared" si="6"/>
        <v>5250</v>
      </c>
      <c r="F42" s="198">
        <f t="shared" si="7"/>
        <v>6300</v>
      </c>
      <c r="H42" s="208">
        <v>10</v>
      </c>
      <c r="I42" s="209">
        <f t="shared" si="8"/>
        <v>375015</v>
      </c>
      <c r="J42" s="209">
        <f t="shared" si="9"/>
        <v>423020</v>
      </c>
      <c r="K42" s="209">
        <f t="shared" si="10"/>
        <v>18938</v>
      </c>
      <c r="L42" s="209">
        <f t="shared" si="11"/>
        <v>29873</v>
      </c>
      <c r="M42" s="210">
        <f t="shared" si="12"/>
        <v>846846</v>
      </c>
      <c r="N42" s="211">
        <f t="shared" si="13"/>
        <v>259135</v>
      </c>
      <c r="O42" s="203">
        <v>381081</v>
      </c>
      <c r="P42" s="203">
        <v>193081</v>
      </c>
      <c r="Q42" s="203">
        <v>203243</v>
      </c>
      <c r="R42" s="206">
        <v>777405</v>
      </c>
    </row>
    <row r="43" spans="1:18" s="204" customFormat="1" ht="12" x14ac:dyDescent="0.2">
      <c r="A43" s="208">
        <v>11</v>
      </c>
      <c r="B43" s="209">
        <f t="shared" si="3"/>
        <v>347260</v>
      </c>
      <c r="C43" s="209">
        <f t="shared" si="4"/>
        <v>319639</v>
      </c>
      <c r="D43" s="209">
        <f t="shared" si="5"/>
        <v>3510</v>
      </c>
      <c r="E43" s="198">
        <f t="shared" si="6"/>
        <v>4388</v>
      </c>
      <c r="F43" s="198">
        <f t="shared" si="7"/>
        <v>5265</v>
      </c>
      <c r="H43" s="208">
        <v>11</v>
      </c>
      <c r="I43" s="209">
        <f t="shared" si="8"/>
        <v>347260</v>
      </c>
      <c r="J43" s="209">
        <f t="shared" si="9"/>
        <v>319639</v>
      </c>
      <c r="K43" s="209">
        <f t="shared" si="10"/>
        <v>18938</v>
      </c>
      <c r="L43" s="209">
        <f t="shared" si="11"/>
        <v>29873</v>
      </c>
      <c r="M43" s="210">
        <f t="shared" si="12"/>
        <v>715710</v>
      </c>
      <c r="N43" s="211">
        <f t="shared" si="13"/>
        <v>219007</v>
      </c>
      <c r="O43" s="203">
        <v>322070</v>
      </c>
      <c r="P43" s="203">
        <v>163182</v>
      </c>
      <c r="Q43" s="203">
        <v>171770</v>
      </c>
      <c r="R43" s="206">
        <v>657022</v>
      </c>
    </row>
    <row r="44" spans="1:18" s="204" customFormat="1" ht="12" x14ac:dyDescent="0.2">
      <c r="A44" s="208">
        <v>12</v>
      </c>
      <c r="B44" s="209">
        <f t="shared" si="3"/>
        <v>321537</v>
      </c>
      <c r="C44" s="209">
        <f t="shared" si="4"/>
        <v>235935</v>
      </c>
      <c r="D44" s="209">
        <f t="shared" si="5"/>
        <v>2934</v>
      </c>
      <c r="E44" s="198">
        <f t="shared" si="6"/>
        <v>3668</v>
      </c>
      <c r="F44" s="198">
        <f t="shared" si="7"/>
        <v>4401</v>
      </c>
      <c r="H44" s="208">
        <v>12</v>
      </c>
      <c r="I44" s="209">
        <f t="shared" si="8"/>
        <v>321537</v>
      </c>
      <c r="J44" s="209">
        <f t="shared" si="9"/>
        <v>235935</v>
      </c>
      <c r="K44" s="209">
        <f t="shared" si="10"/>
        <v>70475</v>
      </c>
      <c r="L44" s="209">
        <f t="shared" si="11"/>
        <v>49354</v>
      </c>
      <c r="M44" s="210">
        <f t="shared" si="12"/>
        <v>677301</v>
      </c>
      <c r="N44" s="211">
        <f t="shared" si="13"/>
        <v>207254</v>
      </c>
      <c r="O44" s="203">
        <v>304785</v>
      </c>
      <c r="P44" s="203">
        <v>154425</v>
      </c>
      <c r="Q44" s="203">
        <v>162552</v>
      </c>
      <c r="R44" s="206">
        <v>621762</v>
      </c>
    </row>
    <row r="45" spans="1:18" s="204" customFormat="1" ht="12" x14ac:dyDescent="0.2">
      <c r="A45" s="208">
        <v>13</v>
      </c>
      <c r="B45" s="209">
        <f t="shared" si="3"/>
        <v>297708</v>
      </c>
      <c r="C45" s="209">
        <f t="shared" si="4"/>
        <v>175570</v>
      </c>
      <c r="D45" s="209">
        <f t="shared" si="5"/>
        <v>2491</v>
      </c>
      <c r="E45" s="198">
        <f t="shared" si="6"/>
        <v>3114</v>
      </c>
      <c r="F45" s="198">
        <f t="shared" si="7"/>
        <v>3737</v>
      </c>
      <c r="H45" s="208">
        <v>13</v>
      </c>
      <c r="I45" s="209">
        <f t="shared" si="8"/>
        <v>297708</v>
      </c>
      <c r="J45" s="209">
        <f t="shared" si="9"/>
        <v>175570</v>
      </c>
      <c r="K45" s="209">
        <f t="shared" si="10"/>
        <v>68390</v>
      </c>
      <c r="L45" s="209">
        <f t="shared" si="11"/>
        <v>49354</v>
      </c>
      <c r="M45" s="210">
        <f t="shared" si="12"/>
        <v>591022</v>
      </c>
      <c r="N45" s="211">
        <f t="shared" si="13"/>
        <v>180853</v>
      </c>
      <c r="O45" s="203">
        <v>265960</v>
      </c>
      <c r="P45" s="203">
        <v>134753</v>
      </c>
      <c r="Q45" s="203">
        <v>141845</v>
      </c>
      <c r="R45" s="206">
        <v>542558</v>
      </c>
    </row>
    <row r="46" spans="1:18" s="204" customFormat="1" ht="12" x14ac:dyDescent="0.2">
      <c r="A46" s="208">
        <v>14</v>
      </c>
      <c r="B46" s="209">
        <f t="shared" si="3"/>
        <v>275610</v>
      </c>
      <c r="C46" s="209">
        <f t="shared" si="4"/>
        <v>132622</v>
      </c>
      <c r="D46" s="209">
        <f t="shared" si="5"/>
        <v>2149</v>
      </c>
      <c r="E46" s="198">
        <f t="shared" si="6"/>
        <v>2686</v>
      </c>
      <c r="F46" s="198">
        <f t="shared" si="7"/>
        <v>3224</v>
      </c>
      <c r="H46" s="208">
        <v>14</v>
      </c>
      <c r="I46" s="209">
        <f t="shared" si="8"/>
        <v>275610</v>
      </c>
      <c r="J46" s="209">
        <f t="shared" si="9"/>
        <v>132622</v>
      </c>
      <c r="K46" s="209">
        <f t="shared" si="10"/>
        <v>67844</v>
      </c>
      <c r="L46" s="209">
        <f t="shared" si="11"/>
        <v>49354</v>
      </c>
      <c r="M46" s="210">
        <f t="shared" si="12"/>
        <v>525430</v>
      </c>
      <c r="N46" s="211">
        <f t="shared" si="13"/>
        <v>160782</v>
      </c>
      <c r="O46" s="203">
        <v>236444</v>
      </c>
      <c r="P46" s="203">
        <v>119798</v>
      </c>
      <c r="Q46" s="203">
        <v>126103</v>
      </c>
      <c r="R46" s="206">
        <v>482345</v>
      </c>
    </row>
    <row r="47" spans="1:18" s="204" customFormat="1" ht="12" x14ac:dyDescent="0.2">
      <c r="A47" s="208">
        <v>15</v>
      </c>
      <c r="B47" s="209">
        <f t="shared" si="3"/>
        <v>255213</v>
      </c>
      <c r="C47" s="209">
        <f t="shared" si="4"/>
        <v>106524</v>
      </c>
      <c r="D47" s="209">
        <f t="shared" si="5"/>
        <v>1904</v>
      </c>
      <c r="E47" s="198">
        <f t="shared" si="6"/>
        <v>2380</v>
      </c>
      <c r="F47" s="198">
        <f t="shared" si="7"/>
        <v>2856</v>
      </c>
      <c r="H47" s="208">
        <v>15</v>
      </c>
      <c r="I47" s="209">
        <f t="shared" si="8"/>
        <v>255213</v>
      </c>
      <c r="J47" s="209">
        <f t="shared" si="9"/>
        <v>106524</v>
      </c>
      <c r="K47" s="209">
        <f t="shared" si="10"/>
        <v>58424</v>
      </c>
      <c r="L47" s="209">
        <f t="shared" si="11"/>
        <v>49354</v>
      </c>
      <c r="M47" s="210">
        <f t="shared" si="12"/>
        <v>469515</v>
      </c>
      <c r="N47" s="211">
        <f t="shared" si="13"/>
        <v>143672</v>
      </c>
      <c r="O47" s="203">
        <v>211282</v>
      </c>
      <c r="P47" s="203">
        <v>107049</v>
      </c>
      <c r="Q47" s="203">
        <v>112684</v>
      </c>
      <c r="R47" s="206">
        <v>431015</v>
      </c>
    </row>
    <row r="48" spans="1:18" s="204" customFormat="1" ht="12" x14ac:dyDescent="0.2">
      <c r="A48" s="208">
        <v>16</v>
      </c>
      <c r="B48" s="209">
        <f t="shared" si="3"/>
        <v>236263</v>
      </c>
      <c r="C48" s="209">
        <f t="shared" si="4"/>
        <v>104619</v>
      </c>
      <c r="D48" s="209">
        <f t="shared" si="5"/>
        <v>1794</v>
      </c>
      <c r="E48" s="198">
        <f t="shared" si="6"/>
        <v>2243</v>
      </c>
      <c r="F48" s="198">
        <f t="shared" si="7"/>
        <v>2691</v>
      </c>
      <c r="H48" s="208">
        <v>16</v>
      </c>
      <c r="I48" s="209">
        <f t="shared" si="8"/>
        <v>236263</v>
      </c>
      <c r="J48" s="209">
        <f t="shared" si="9"/>
        <v>104619</v>
      </c>
      <c r="K48" s="209">
        <f t="shared" si="10"/>
        <v>61554</v>
      </c>
      <c r="L48" s="209">
        <f t="shared" si="11"/>
        <v>49354</v>
      </c>
      <c r="M48" s="210">
        <f t="shared" si="12"/>
        <v>451790</v>
      </c>
      <c r="N48" s="211">
        <f t="shared" si="13"/>
        <v>138248</v>
      </c>
      <c r="O48" s="203">
        <v>203306</v>
      </c>
      <c r="P48" s="203">
        <v>103008</v>
      </c>
      <c r="Q48" s="203">
        <v>108430</v>
      </c>
      <c r="R48" s="206">
        <v>414744</v>
      </c>
    </row>
    <row r="49" spans="1:18" s="204" customFormat="1" ht="12" x14ac:dyDescent="0.2">
      <c r="A49" s="208">
        <v>17</v>
      </c>
      <c r="B49" s="209">
        <f t="shared" si="3"/>
        <v>218770</v>
      </c>
      <c r="C49" s="209">
        <f t="shared" si="4"/>
        <v>80888</v>
      </c>
      <c r="D49" s="209">
        <f t="shared" si="5"/>
        <v>1577</v>
      </c>
      <c r="E49" s="198">
        <f t="shared" si="6"/>
        <v>1971</v>
      </c>
      <c r="F49" s="198">
        <f t="shared" si="7"/>
        <v>2366</v>
      </c>
      <c r="H49" s="208">
        <v>17</v>
      </c>
      <c r="I49" s="209">
        <f t="shared" si="8"/>
        <v>218770</v>
      </c>
      <c r="J49" s="209">
        <f t="shared" si="9"/>
        <v>80888</v>
      </c>
      <c r="K49" s="209">
        <f t="shared" si="10"/>
        <v>57265</v>
      </c>
      <c r="L49" s="209">
        <f t="shared" si="11"/>
        <v>49354</v>
      </c>
      <c r="M49" s="210">
        <f t="shared" si="12"/>
        <v>406277</v>
      </c>
      <c r="N49" s="211">
        <f t="shared" si="13"/>
        <v>124321</v>
      </c>
      <c r="O49" s="203">
        <v>182825</v>
      </c>
      <c r="P49" s="203">
        <v>92631</v>
      </c>
      <c r="Q49" s="203">
        <v>97506</v>
      </c>
      <c r="R49" s="206">
        <v>372962</v>
      </c>
    </row>
    <row r="50" spans="1:18" s="204" customFormat="1" ht="12" x14ac:dyDescent="0.2">
      <c r="A50" s="208">
        <v>18</v>
      </c>
      <c r="B50" s="209">
        <f t="shared" si="3"/>
        <v>202570</v>
      </c>
      <c r="C50" s="209">
        <f t="shared" si="4"/>
        <v>78335</v>
      </c>
      <c r="D50" s="209">
        <f t="shared" si="5"/>
        <v>1478</v>
      </c>
      <c r="E50" s="198">
        <f t="shared" si="6"/>
        <v>1848</v>
      </c>
      <c r="F50" s="198">
        <f t="shared" si="7"/>
        <v>2217</v>
      </c>
      <c r="H50" s="208">
        <v>18</v>
      </c>
      <c r="I50" s="209">
        <f t="shared" si="8"/>
        <v>202570</v>
      </c>
      <c r="J50" s="209">
        <f t="shared" si="9"/>
        <v>78335</v>
      </c>
      <c r="K50" s="209">
        <f t="shared" si="10"/>
        <v>57265</v>
      </c>
      <c r="L50" s="209">
        <f t="shared" si="11"/>
        <v>49354</v>
      </c>
      <c r="M50" s="210">
        <f t="shared" si="12"/>
        <v>387524</v>
      </c>
      <c r="N50" s="211">
        <f t="shared" si="13"/>
        <v>118582</v>
      </c>
      <c r="O50" s="203">
        <v>174386</v>
      </c>
      <c r="P50" s="203">
        <v>88355</v>
      </c>
      <c r="Q50" s="203">
        <v>93006</v>
      </c>
      <c r="R50" s="206">
        <v>355747</v>
      </c>
    </row>
    <row r="51" spans="1:18" s="204" customFormat="1" ht="12" x14ac:dyDescent="0.2">
      <c r="A51" s="208">
        <v>19</v>
      </c>
      <c r="B51" s="209">
        <f t="shared" si="3"/>
        <v>189322</v>
      </c>
      <c r="C51" s="209">
        <f t="shared" si="4"/>
        <v>85677</v>
      </c>
      <c r="D51" s="209">
        <f t="shared" si="5"/>
        <v>1447</v>
      </c>
      <c r="E51" s="198">
        <f t="shared" si="6"/>
        <v>1809</v>
      </c>
      <c r="F51" s="198">
        <f t="shared" si="7"/>
        <v>2171</v>
      </c>
      <c r="H51" s="208">
        <v>19</v>
      </c>
      <c r="I51" s="209">
        <f t="shared" si="8"/>
        <v>189322</v>
      </c>
      <c r="J51" s="209">
        <f t="shared" si="9"/>
        <v>85677</v>
      </c>
      <c r="K51" s="209">
        <f t="shared" si="10"/>
        <v>59688</v>
      </c>
      <c r="L51" s="209">
        <f t="shared" si="11"/>
        <v>49354</v>
      </c>
      <c r="M51" s="210">
        <f t="shared" si="12"/>
        <v>384041</v>
      </c>
      <c r="N51" s="211">
        <f t="shared" si="13"/>
        <v>117517</v>
      </c>
      <c r="O51" s="203">
        <v>172818</v>
      </c>
      <c r="P51" s="203">
        <v>87561</v>
      </c>
      <c r="Q51" s="203">
        <v>92170</v>
      </c>
      <c r="R51" s="206">
        <v>352549</v>
      </c>
    </row>
    <row r="52" spans="1:18" s="204" customFormat="1" ht="12" x14ac:dyDescent="0.2">
      <c r="A52" s="208">
        <v>20</v>
      </c>
      <c r="B52" s="209">
        <f t="shared" si="3"/>
        <v>176945</v>
      </c>
      <c r="C52" s="209">
        <f t="shared" si="4"/>
        <v>67489</v>
      </c>
      <c r="D52" s="209">
        <f t="shared" si="5"/>
        <v>1286</v>
      </c>
      <c r="E52" s="198">
        <f t="shared" si="6"/>
        <v>1608</v>
      </c>
      <c r="F52" s="198">
        <f t="shared" si="7"/>
        <v>1929</v>
      </c>
      <c r="H52" s="208">
        <v>20</v>
      </c>
      <c r="I52" s="209">
        <f t="shared" si="8"/>
        <v>176945</v>
      </c>
      <c r="J52" s="209">
        <f t="shared" si="9"/>
        <v>67489</v>
      </c>
      <c r="K52" s="209">
        <f t="shared" si="10"/>
        <v>57344</v>
      </c>
      <c r="L52" s="209">
        <f t="shared" si="11"/>
        <v>49354</v>
      </c>
      <c r="M52" s="210">
        <f t="shared" si="12"/>
        <v>351132</v>
      </c>
      <c r="N52" s="211">
        <f t="shared" si="13"/>
        <v>107446</v>
      </c>
      <c r="O52" s="203">
        <v>158009</v>
      </c>
      <c r="P52" s="203">
        <v>80058</v>
      </c>
      <c r="Q52" s="203">
        <v>84272</v>
      </c>
      <c r="R52" s="206">
        <v>322339</v>
      </c>
    </row>
    <row r="54" spans="1:18" x14ac:dyDescent="0.2">
      <c r="E54" s="193">
        <f>+E48*36</f>
        <v>80748</v>
      </c>
    </row>
    <row r="55" spans="1:18" x14ac:dyDescent="0.2">
      <c r="E55" s="193">
        <f>32*F48</f>
        <v>86112</v>
      </c>
    </row>
  </sheetData>
  <mergeCells count="11">
    <mergeCell ref="A31:A32"/>
    <mergeCell ref="B31:B32"/>
    <mergeCell ref="C31:C32"/>
    <mergeCell ref="A29:F29"/>
    <mergeCell ref="H29:R29"/>
    <mergeCell ref="I31:L31"/>
    <mergeCell ref="C1:Q1"/>
    <mergeCell ref="H31:H32"/>
    <mergeCell ref="M31:M32"/>
    <mergeCell ref="N31:R31"/>
    <mergeCell ref="D31:F31"/>
  </mergeCells>
  <printOptions horizontalCentered="1"/>
  <pageMargins left="0" right="0" top="0.55118110236220474" bottom="0.55118110236220474" header="0.31496062992125984" footer="0.31496062992125984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T79"/>
  <sheetViews>
    <sheetView zoomScaleNormal="100" workbookViewId="0">
      <pane ySplit="3" topLeftCell="A46" activePane="bottomLeft" state="frozen"/>
      <selection pane="bottomLeft" activeCell="K63" sqref="K63"/>
    </sheetView>
  </sheetViews>
  <sheetFormatPr baseColWidth="10" defaultRowHeight="12.75" x14ac:dyDescent="0.25"/>
  <cols>
    <col min="1" max="1" width="7.28515625" style="221" bestFit="1" customWidth="1"/>
    <col min="2" max="2" width="10.85546875" style="220" bestFit="1" customWidth="1"/>
    <col min="3" max="3" width="13.28515625" style="220" bestFit="1" customWidth="1"/>
    <col min="4" max="4" width="13.28515625" style="220" customWidth="1"/>
    <col min="5" max="5" width="13.5703125" style="220" bestFit="1" customWidth="1"/>
    <col min="6" max="6" width="13.42578125" style="220" customWidth="1"/>
    <col min="7" max="7" width="14.5703125" style="220" bestFit="1" customWidth="1"/>
    <col min="8" max="8" width="13.42578125" style="220" customWidth="1"/>
    <col min="9" max="9" width="12.42578125" style="220" customWidth="1"/>
    <col min="10" max="10" width="12.5703125" style="220" bestFit="1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20" width="11.5703125" style="220" bestFit="1" customWidth="1"/>
    <col min="21" max="16384" width="11.42578125" style="220"/>
  </cols>
  <sheetData>
    <row r="1" spans="1:20" s="219" customFormat="1" ht="30.75" customHeight="1" x14ac:dyDescent="0.25">
      <c r="B1" s="234">
        <v>1.0249999999999999</v>
      </c>
      <c r="C1" s="340" t="s">
        <v>71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1:20" x14ac:dyDescent="0.25">
      <c r="A2" s="220"/>
      <c r="B2" s="221"/>
      <c r="O2" s="220"/>
      <c r="P2" s="222"/>
    </row>
    <row r="3" spans="1:20" s="235" customFormat="1" ht="25.5" x14ac:dyDescent="0.2">
      <c r="B3" s="236" t="str">
        <f>+'Tabla Homol.Dic.2016-Nov.2017'!A3</f>
        <v>GRADOS</v>
      </c>
      <c r="C3" s="236" t="str">
        <f>+'Tabla Homol.Dic.2016-Nov.2017'!$A5</f>
        <v>SUELDO BASE</v>
      </c>
      <c r="D3" s="236" t="str">
        <f>+'Tabla Homol.Dic.2016-Nov.2017'!$A6</f>
        <v>DL 3501</v>
      </c>
      <c r="E3" s="236" t="str">
        <f>+'Tabla Homol.Dic.2016-Nov.2017'!$A7</f>
        <v>ASIG MUNICIPAL</v>
      </c>
      <c r="F3" s="236" t="str">
        <f>+'Tabla Homol.Dic.2016-Nov.2017'!$A8</f>
        <v xml:space="preserve">ASIG.ZONA </v>
      </c>
      <c r="G3" s="236" t="str">
        <f>+'Tabla Homol.Dic.2016-Nov.2017'!$A9</f>
        <v>ART. 10 LEY 18675</v>
      </c>
      <c r="H3" s="237" t="str">
        <f>+'Tabla Homol.Dic.2016-Nov.2017'!$A10</f>
        <v>Asig Unica Ley 18,717</v>
      </c>
      <c r="I3" s="237" t="str">
        <f>+'Tabla Homol.Dic.2016-Nov.2017'!$A11</f>
        <v>Bonif.Salud Ley 18,566</v>
      </c>
      <c r="J3" s="236" t="str">
        <f>+'Tabla Homol.Dic.2016-Nov.2017'!$A12</f>
        <v>LEY 19529</v>
      </c>
      <c r="K3" s="238" t="str">
        <f>+'Tabla Homol.Dic.2016-Nov.2017'!$A13</f>
        <v>SUELDO LEY 18695</v>
      </c>
      <c r="L3" s="237" t="str">
        <f>+'Tabla Homol.Dic.2016-Nov.2017'!$A14</f>
        <v>ASIG.MUNIC. LEY 18695</v>
      </c>
      <c r="M3" s="238" t="str">
        <f>+'Tabla Homol.Dic.2016-Nov.2017'!$A15</f>
        <v>LEY 20008 JUECES</v>
      </c>
      <c r="N3" s="237" t="str">
        <f>+'Tabla Homol.Dic.2016-Nov.2017'!$A16</f>
        <v>ART. 5 LEY 20008 JUECES</v>
      </c>
      <c r="O3" s="237" t="str">
        <f>+'Tabla Homol.Dic.2016-Nov.2017'!$A17</f>
        <v>ASIG. PROFESIONAL</v>
      </c>
      <c r="P3" s="238" t="str">
        <f>+'Tabla Homol.Dic.2016-Nov.2017'!$A18</f>
        <v>TOTAL BRUTO</v>
      </c>
      <c r="Q3" s="238" t="s">
        <v>70</v>
      </c>
    </row>
    <row r="4" spans="1:20" x14ac:dyDescent="0.25">
      <c r="A4" s="220"/>
      <c r="B4" s="239">
        <v>1</v>
      </c>
      <c r="C4" s="240">
        <f>'EUS 2017'!C4*'EUS 2018'!$B$1</f>
        <v>627924.22499999998</v>
      </c>
      <c r="D4" s="241">
        <f>'EUS 2017'!D4*'EUS 2018'!$B$1</f>
        <v>135003.77499999999</v>
      </c>
      <c r="E4" s="240">
        <f>'EUS 2017'!E4*'EUS 2018'!$B$1</f>
        <v>2332194.7999999998</v>
      </c>
      <c r="F4" s="241">
        <f>'EUS 2017'!F4*'EUS 2018'!$B$1</f>
        <v>175818.24999999997</v>
      </c>
      <c r="G4" s="240">
        <f>'EUS 2017'!G4*'EUS 2018'!$B$1</f>
        <v>208450.15</v>
      </c>
      <c r="H4" s="240">
        <f>'EUS 2017'!H4*'EUS 2018'!$B$1</f>
        <v>19411.449999999997</v>
      </c>
      <c r="I4" s="240">
        <f>'EUS 2017'!I4*'EUS 2018'!$B$1</f>
        <v>94431.2</v>
      </c>
      <c r="J4" s="240">
        <f>'EUS 2017'!J4*'EUS 2018'!$B$1</f>
        <v>0</v>
      </c>
      <c r="K4" s="240">
        <f>'EUS 2017'!K4*'EUS 2018'!$B$1</f>
        <v>627924.22499999998</v>
      </c>
      <c r="L4" s="240">
        <f>'EUS 2017'!L4*'EUS 2018'!$B$1</f>
        <v>2332194.7999999998</v>
      </c>
      <c r="M4" s="240">
        <f>'EUS 2017'!M4*'EUS 2018'!$B$1</f>
        <v>0</v>
      </c>
      <c r="N4" s="240">
        <f>'EUS 2017'!N4*'EUS 2018'!$B$1</f>
        <v>0</v>
      </c>
      <c r="O4" s="241">
        <f>'EUS 2017'!O4*'EUS 2018'!$B$1</f>
        <v>0</v>
      </c>
      <c r="P4" s="242">
        <f>SUM(C4:O4)</f>
        <v>6553352.875</v>
      </c>
      <c r="Q4" s="241">
        <f>'EUS 2017'!Q4*'EUS 2018'!$B$1</f>
        <v>0</v>
      </c>
      <c r="S4" s="243">
        <f>+P4-'EUS 2017'!S4</f>
        <v>0</v>
      </c>
    </row>
    <row r="5" spans="1:20" x14ac:dyDescent="0.25">
      <c r="A5" s="220"/>
      <c r="B5" s="239">
        <v>2</v>
      </c>
      <c r="C5" s="240">
        <f>'EUS 2017'!C5*'EUS 2018'!$B$1</f>
        <v>592659.1</v>
      </c>
      <c r="D5" s="241">
        <f>'EUS 2017'!D5*'EUS 2018'!$B$1</f>
        <v>127421.84999999999</v>
      </c>
      <c r="E5" s="240">
        <f>'EUS 2017'!E5*'EUS 2018'!$B$1</f>
        <v>2231233.3249999997</v>
      </c>
      <c r="F5" s="241">
        <f>'EUS 2017'!F5*'EUS 2018'!$B$1</f>
        <v>165944.42499999999</v>
      </c>
      <c r="G5" s="240">
        <f>'EUS 2017'!G5*'EUS 2018'!$B$1</f>
        <v>214210.65</v>
      </c>
      <c r="H5" s="240">
        <f>'EUS 2017'!H5*'EUS 2018'!$B$1</f>
        <v>19411.449999999997</v>
      </c>
      <c r="I5" s="240">
        <f>'EUS 2017'!I5*'EUS 2018'!$B$1</f>
        <v>97419.074999999997</v>
      </c>
      <c r="J5" s="240">
        <f>'EUS 2017'!J5*'EUS 2018'!$B$1</f>
        <v>0</v>
      </c>
      <c r="K5" s="240">
        <f>'EUS 2017'!K5*'EUS 2018'!$B$1</f>
        <v>0</v>
      </c>
      <c r="L5" s="240">
        <f>'EUS 2017'!L5*'EUS 2018'!$B$1</f>
        <v>0</v>
      </c>
      <c r="M5" s="240">
        <f>'EUS 2017'!M5*'EUS 2018'!$B$1</f>
        <v>0</v>
      </c>
      <c r="N5" s="240">
        <f>'EUS 2017'!N5*'EUS 2018'!$B$1</f>
        <v>0</v>
      </c>
      <c r="O5" s="241">
        <f>'EUS 2017'!O5*'EUS 2018'!$B$1</f>
        <v>0</v>
      </c>
      <c r="P5" s="242">
        <f t="shared" ref="P5:P23" si="0">SUM(C5:O5)</f>
        <v>3448299.8749999995</v>
      </c>
      <c r="Q5" s="241">
        <f>'EUS 2017'!Q5*'EUS 2018'!$B$1</f>
        <v>0</v>
      </c>
      <c r="S5" s="243">
        <f>+P5-'EUS 2017'!S5</f>
        <v>0</v>
      </c>
    </row>
    <row r="6" spans="1:20" x14ac:dyDescent="0.25">
      <c r="A6" s="220">
        <f>+C6/30*3</f>
        <v>62575.122499999998</v>
      </c>
      <c r="B6" s="239">
        <v>3</v>
      </c>
      <c r="C6" s="240">
        <f>'EUS 2017'!C6*'EUS 2018'!$B$1</f>
        <v>625751.22499999998</v>
      </c>
      <c r="D6" s="241">
        <f>'EUS 2017'!D6*'EUS 2018'!$B$1</f>
        <v>134536.375</v>
      </c>
      <c r="E6" s="240">
        <f>'EUS 2017'!E6*'EUS 2018'!$B$1</f>
        <v>1839877.0499999998</v>
      </c>
      <c r="F6" s="241">
        <f>'EUS 2017'!F6*'EUS 2018'!$B$1</f>
        <v>175210.42499999999</v>
      </c>
      <c r="G6" s="240">
        <f>'EUS 2017'!G6*'EUS 2018'!$B$1</f>
        <v>215001.94999999998</v>
      </c>
      <c r="H6" s="240">
        <f>'EUS 2017'!H6*'EUS 2018'!$B$1</f>
        <v>19411.449999999997</v>
      </c>
      <c r="I6" s="240">
        <f>'EUS 2017'!I6*'EUS 2018'!$B$1</f>
        <v>97810.624999999985</v>
      </c>
      <c r="J6" s="240">
        <f>'EUS 2017'!J6*'EUS 2018'!$B$1</f>
        <v>26627.449999999997</v>
      </c>
      <c r="K6" s="240">
        <f>'EUS 2017'!K6*'EUS 2018'!$B$1</f>
        <v>0</v>
      </c>
      <c r="L6" s="240">
        <f>'EUS 2017'!L6*'EUS 2018'!$B$1</f>
        <v>0</v>
      </c>
      <c r="M6" s="240">
        <f>'EUS 2017'!M6*'EUS 2018'!$B$1</f>
        <v>739689.2</v>
      </c>
      <c r="N6" s="240">
        <f>'EUS 2017'!N6*'EUS 2018'!$B$1</f>
        <v>493125.44999999995</v>
      </c>
      <c r="O6" s="241">
        <f>'EUS 2017'!O6*'EUS 2018'!$B$1</f>
        <v>500604.87499999994</v>
      </c>
      <c r="P6" s="242">
        <f t="shared" si="0"/>
        <v>4867646.0750000002</v>
      </c>
      <c r="Q6" s="241">
        <f>'EUS 2017'!Q6*'EUS 2018'!$B$1</f>
        <v>250302.43749999997</v>
      </c>
      <c r="S6" s="243">
        <f>+P6-'EUS 2017'!S6</f>
        <v>0</v>
      </c>
    </row>
    <row r="7" spans="1:20" x14ac:dyDescent="0.25">
      <c r="A7" s="220"/>
      <c r="B7" s="239">
        <v>4</v>
      </c>
      <c r="C7" s="240">
        <f>'EUS 2017'!C7*'EUS 2018'!$B$1</f>
        <v>590346.69999999995</v>
      </c>
      <c r="D7" s="241">
        <f>'EUS 2017'!D7*'EUS 2018'!$B$1</f>
        <v>126924.72499999999</v>
      </c>
      <c r="E7" s="240">
        <f>'EUS 2017'!E7*'EUS 2018'!$B$1</f>
        <v>1785081.575</v>
      </c>
      <c r="F7" s="241">
        <f>'EUS 2017'!F7*'EUS 2018'!$B$1</f>
        <v>165298.67499999999</v>
      </c>
      <c r="G7" s="240">
        <f>'EUS 2017'!G7*'EUS 2018'!$B$1</f>
        <v>220002.92499999999</v>
      </c>
      <c r="H7" s="240">
        <f>'EUS 2017'!H7*'EUS 2018'!$B$1</f>
        <v>19411.449999999997</v>
      </c>
      <c r="I7" s="240">
        <f>'EUS 2017'!I7*'EUS 2018'!$B$1</f>
        <v>100393.62499999999</v>
      </c>
      <c r="J7" s="240">
        <f>'EUS 2017'!J7*'EUS 2018'!$B$1</f>
        <v>26627.449999999997</v>
      </c>
      <c r="K7" s="240">
        <f>'EUS 2017'!K7*'EUS 2018'!$B$1</f>
        <v>0</v>
      </c>
      <c r="L7" s="240">
        <f>'EUS 2017'!L7*'EUS 2018'!$B$1</f>
        <v>0</v>
      </c>
      <c r="M7" s="240">
        <f>'EUS 2017'!M7*'EUS 2018'!$B$1</f>
        <v>0</v>
      </c>
      <c r="N7" s="240">
        <f>'EUS 2017'!N7*'EUS 2018'!$B$1</f>
        <v>0</v>
      </c>
      <c r="O7" s="241">
        <f>'EUS 2017'!O7*'EUS 2018'!$B$1</f>
        <v>472273.87499999994</v>
      </c>
      <c r="P7" s="242">
        <f t="shared" si="0"/>
        <v>3506361</v>
      </c>
      <c r="Q7" s="241">
        <f>'EUS 2017'!Q7*'EUS 2018'!$B$1</f>
        <v>236136.93749999997</v>
      </c>
      <c r="S7" s="243">
        <f>+P7-'EUS 2017'!S7</f>
        <v>0</v>
      </c>
    </row>
    <row r="8" spans="1:20" x14ac:dyDescent="0.25">
      <c r="A8" s="220"/>
      <c r="B8" s="239">
        <v>5</v>
      </c>
      <c r="C8" s="240">
        <f>'EUS 2017'!C8*'EUS 2018'!$B$1</f>
        <v>556952.19999999995</v>
      </c>
      <c r="D8" s="241">
        <f>'EUS 2017'!D8*'EUS 2018'!$B$1</f>
        <v>119743.57499999998</v>
      </c>
      <c r="E8" s="240">
        <f>'EUS 2017'!E8*'EUS 2018'!$B$1</f>
        <v>1534236.4</v>
      </c>
      <c r="F8" s="241">
        <f>'EUS 2017'!F8*'EUS 2018'!$B$1</f>
        <v>155946.57499999998</v>
      </c>
      <c r="G8" s="240">
        <f>'EUS 2017'!G8*'EUS 2018'!$B$1</f>
        <v>225024.4</v>
      </c>
      <c r="H8" s="240">
        <f>'EUS 2017'!H8*'EUS 2018'!$B$1</f>
        <v>19411.449999999997</v>
      </c>
      <c r="I8" s="240">
        <f>'EUS 2017'!I8*'EUS 2018'!$B$1</f>
        <v>103020.7</v>
      </c>
      <c r="J8" s="240">
        <f>'EUS 2017'!J8*'EUS 2018'!$B$1</f>
        <v>26627.449999999997</v>
      </c>
      <c r="K8" s="240">
        <f>'EUS 2017'!K8*'EUS 2018'!$B$1</f>
        <v>0</v>
      </c>
      <c r="L8" s="240">
        <f>'EUS 2017'!L8*'EUS 2018'!$B$1</f>
        <v>0</v>
      </c>
      <c r="M8" s="240">
        <f>'EUS 2017'!M8*'EUS 2018'!$B$1</f>
        <v>0</v>
      </c>
      <c r="N8" s="240">
        <f>'EUS 2017'!N8*'EUS 2018'!$B$1</f>
        <v>0</v>
      </c>
      <c r="O8" s="241">
        <f>'EUS 2017'!O8*'EUS 2018'!$B$1</f>
        <v>470743.54999999993</v>
      </c>
      <c r="P8" s="242">
        <f t="shared" si="0"/>
        <v>3211706.3000000003</v>
      </c>
      <c r="Q8" s="241">
        <f>'EUS 2017'!Q8*'EUS 2018'!$B$1</f>
        <v>235371.77499999997</v>
      </c>
      <c r="S8" s="243">
        <f>+P8-'EUS 2017'!S8</f>
        <v>0</v>
      </c>
    </row>
    <row r="9" spans="1:20" x14ac:dyDescent="0.25">
      <c r="A9" s="220"/>
      <c r="B9" s="239">
        <v>6</v>
      </c>
      <c r="C9" s="240">
        <f>'EUS 2017'!C9*'EUS 2018'!$B$1</f>
        <v>525385.27499999991</v>
      </c>
      <c r="D9" s="241">
        <f>'EUS 2017'!D9*'EUS 2018'!$B$1</f>
        <v>112958.075</v>
      </c>
      <c r="E9" s="240">
        <f>'EUS 2017'!E9*'EUS 2018'!$B$1</f>
        <v>1296547.0999999999</v>
      </c>
      <c r="F9" s="241">
        <f>'EUS 2017'!F9*'EUS 2018'!$B$1</f>
        <v>147106.97499999998</v>
      </c>
      <c r="G9" s="240">
        <f>'EUS 2017'!G9*'EUS 2018'!$B$1</f>
        <v>251524.74999999997</v>
      </c>
      <c r="H9" s="240">
        <f>'EUS 2017'!H9*'EUS 2018'!$B$1</f>
        <v>19411.449999999997</v>
      </c>
      <c r="I9" s="240">
        <f>'EUS 2017'!I9*'EUS 2018'!$B$1</f>
        <v>95850.824999999997</v>
      </c>
      <c r="J9" s="240">
        <f>'EUS 2017'!J9*'EUS 2018'!$B$1</f>
        <v>30619.824999999997</v>
      </c>
      <c r="K9" s="240">
        <f>'EUS 2017'!K9*'EUS 2018'!$B$1</f>
        <v>0</v>
      </c>
      <c r="L9" s="240">
        <f>'EUS 2017'!L9*'EUS 2018'!$B$1</f>
        <v>0</v>
      </c>
      <c r="M9" s="240">
        <f>'EUS 2017'!M9*'EUS 2018'!$B$1</f>
        <v>0</v>
      </c>
      <c r="N9" s="240">
        <f>'EUS 2017'!N9*'EUS 2018'!$B$1</f>
        <v>0</v>
      </c>
      <c r="O9" s="241">
        <f>'EUS 2017'!O9*'EUS 2018'!$B$1</f>
        <v>420303.3</v>
      </c>
      <c r="P9" s="242">
        <f t="shared" si="0"/>
        <v>2899707.5750000002</v>
      </c>
      <c r="Q9" s="241">
        <f>'EUS 2017'!Q9*'EUS 2018'!$B$1</f>
        <v>210151.65</v>
      </c>
      <c r="S9" s="243">
        <f>+P9-'EUS 2017'!S9</f>
        <v>0</v>
      </c>
    </row>
    <row r="10" spans="1:20" x14ac:dyDescent="0.25">
      <c r="A10" s="220"/>
      <c r="B10" s="239">
        <v>7</v>
      </c>
      <c r="C10" s="240">
        <f>'EUS 2017'!C10*'EUS 2018'!$B$1</f>
        <v>484275.6</v>
      </c>
      <c r="D10" s="241">
        <f>'EUS 2017'!D10*'EUS 2018'!$B$1</f>
        <v>104119.49999999999</v>
      </c>
      <c r="E10" s="240">
        <f>'EUS 2017'!E10*'EUS 2018'!$B$1</f>
        <v>972314.99999999988</v>
      </c>
      <c r="F10" s="241">
        <f>'EUS 2017'!F10*'EUS 2018'!$B$1</f>
        <v>135597.25</v>
      </c>
      <c r="G10" s="240">
        <f>'EUS 2017'!G10*'EUS 2018'!$B$1</f>
        <v>173444.34999999998</v>
      </c>
      <c r="H10" s="240">
        <f>'EUS 2017'!H10*'EUS 2018'!$B$1</f>
        <v>19411.449999999997</v>
      </c>
      <c r="I10" s="240">
        <f>'EUS 2017'!I10*'EUS 2018'!$B$1</f>
        <v>71485.549999999988</v>
      </c>
      <c r="J10" s="240">
        <f>'EUS 2017'!J10*'EUS 2018'!$B$1</f>
        <v>30619.824999999997</v>
      </c>
      <c r="K10" s="240">
        <f>'EUS 2017'!K10*'EUS 2018'!$B$1</f>
        <v>0</v>
      </c>
      <c r="L10" s="240">
        <f>'EUS 2017'!L10*'EUS 2018'!$B$1</f>
        <v>0</v>
      </c>
      <c r="M10" s="240">
        <f>'EUS 2017'!M10*'EUS 2018'!$B$1</f>
        <v>0</v>
      </c>
      <c r="N10" s="240">
        <f>'EUS 2017'!N10*'EUS 2018'!$B$1</f>
        <v>0</v>
      </c>
      <c r="O10" s="241">
        <f>'EUS 2017'!O10*'EUS 2018'!$B$1</f>
        <v>383512.97499999998</v>
      </c>
      <c r="P10" s="242">
        <f t="shared" si="0"/>
        <v>2374781.4999999995</v>
      </c>
      <c r="Q10" s="241">
        <f>'EUS 2017'!Q10*'EUS 2018'!$B$1</f>
        <v>191756.48749999999</v>
      </c>
      <c r="S10" s="243">
        <f>+P10-'EUS 2017'!S10</f>
        <v>0</v>
      </c>
    </row>
    <row r="11" spans="1:20" x14ac:dyDescent="0.25">
      <c r="A11" s="220">
        <f>+C11/30*2</f>
        <v>29890.981666666667</v>
      </c>
      <c r="B11" s="239">
        <v>8</v>
      </c>
      <c r="C11" s="240">
        <f>'EUS 2017'!C11*'EUS 2018'!$B$1</f>
        <v>448364.72499999998</v>
      </c>
      <c r="D11" s="241">
        <f>'EUS 2017'!D11*'EUS 2018'!$B$1</f>
        <v>96398.174999999988</v>
      </c>
      <c r="E11" s="240">
        <f>'EUS 2017'!E11*'EUS 2018'!$B$1</f>
        <v>746536.2</v>
      </c>
      <c r="F11" s="241">
        <f>'EUS 2017'!F11*'EUS 2018'!$B$1</f>
        <v>125541.99999999999</v>
      </c>
      <c r="G11" s="240">
        <f>'EUS 2017'!G11*'EUS 2018'!$B$1</f>
        <v>132294.69999999998</v>
      </c>
      <c r="H11" s="240">
        <f>'EUS 2017'!H11*'EUS 2018'!$B$1</f>
        <v>19411.449999999997</v>
      </c>
      <c r="I11" s="240">
        <f>'EUS 2017'!I11*'EUS 2018'!$B$1</f>
        <v>54542.299999999996</v>
      </c>
      <c r="J11" s="240">
        <f>'EUS 2017'!J11*'EUS 2018'!$B$1</f>
        <v>30619.824999999997</v>
      </c>
      <c r="K11" s="240">
        <f>'EUS 2017'!K11*'EUS 2018'!$B$1</f>
        <v>0</v>
      </c>
      <c r="L11" s="240">
        <f>'EUS 2017'!L11*'EUS 2018'!$B$1</f>
        <v>0</v>
      </c>
      <c r="M11" s="240">
        <f>'EUS 2017'!M11*'EUS 2018'!$B$1</f>
        <v>0</v>
      </c>
      <c r="N11" s="240">
        <f>'EUS 2017'!N11*'EUS 2018'!$B$1</f>
        <v>0</v>
      </c>
      <c r="O11" s="241">
        <f>'EUS 2017'!O11*'EUS 2018'!$B$1</f>
        <v>343967.44999999995</v>
      </c>
      <c r="P11" s="242">
        <f t="shared" si="0"/>
        <v>1997676.8249999997</v>
      </c>
      <c r="Q11" s="241">
        <f>'EUS 2017'!Q11*'EUS 2018'!$B$1</f>
        <v>171983.72499999998</v>
      </c>
      <c r="S11" s="243">
        <f>+P11-'EUS 2017'!S11</f>
        <v>0</v>
      </c>
    </row>
    <row r="12" spans="1:20" x14ac:dyDescent="0.25">
      <c r="A12" s="220"/>
      <c r="B12" s="239">
        <v>9</v>
      </c>
      <c r="C12" s="240">
        <f>'EUS 2017'!C12*'EUS 2018'!$B$1</f>
        <v>415111.67499999999</v>
      </c>
      <c r="D12" s="241">
        <f>'EUS 2017'!D12*'EUS 2018'!$B$1</f>
        <v>89248.799999999988</v>
      </c>
      <c r="E12" s="240">
        <f>'EUS 2017'!E12*'EUS 2018'!$B$1</f>
        <v>573622.79999999993</v>
      </c>
      <c r="F12" s="241">
        <f>'EUS 2017'!F12*'EUS 2018'!$B$1</f>
        <v>116230.9</v>
      </c>
      <c r="G12" s="240">
        <f>'EUS 2017'!G12*'EUS 2018'!$B$1</f>
        <v>100862.04999999999</v>
      </c>
      <c r="H12" s="240">
        <f>'EUS 2017'!H12*'EUS 2018'!$B$1</f>
        <v>19411.449999999997</v>
      </c>
      <c r="I12" s="240">
        <f>'EUS 2017'!I12*'EUS 2018'!$B$1</f>
        <v>41576.049999999996</v>
      </c>
      <c r="J12" s="240">
        <f>'EUS 2017'!J12*'EUS 2018'!$B$1</f>
        <v>30619.824999999997</v>
      </c>
      <c r="K12" s="240">
        <f>'EUS 2017'!K12*'EUS 2018'!$B$1</f>
        <v>0</v>
      </c>
      <c r="L12" s="240">
        <f>'EUS 2017'!L12*'EUS 2018'!$B$1</f>
        <v>0</v>
      </c>
      <c r="M12" s="240">
        <f>'EUS 2017'!M12*'EUS 2018'!$B$1</f>
        <v>0</v>
      </c>
      <c r="N12" s="240">
        <f>'EUS 2017'!N12*'EUS 2018'!$B$1</f>
        <v>0</v>
      </c>
      <c r="O12" s="241">
        <f>'EUS 2017'!O12*'EUS 2018'!$B$1</f>
        <v>311275.07499999995</v>
      </c>
      <c r="P12" s="242">
        <f t="shared" si="0"/>
        <v>1697958.6249999998</v>
      </c>
      <c r="Q12" s="241">
        <f>'EUS 2017'!Q12*'EUS 2018'!$B$1</f>
        <v>155637.53749999998</v>
      </c>
      <c r="S12" s="243">
        <f>+P12-'EUS 2017'!S12</f>
        <v>0</v>
      </c>
    </row>
    <row r="13" spans="1:20" x14ac:dyDescent="0.25">
      <c r="A13" s="220"/>
      <c r="B13" s="239">
        <v>10</v>
      </c>
      <c r="C13" s="240">
        <f>'EUS 2017'!C13*'EUS 2018'!$B$1</f>
        <v>384390.37499999994</v>
      </c>
      <c r="D13" s="241">
        <f>'EUS 2017'!D13*'EUS 2018'!$B$1</f>
        <v>82643.7</v>
      </c>
      <c r="E13" s="240">
        <f>'EUS 2017'!E13*'EUS 2018'!$B$1</f>
        <v>433595.49999999994</v>
      </c>
      <c r="F13" s="241">
        <f>'EUS 2017'!F13*'EUS 2018'!$B$1</f>
        <v>107629.09999999999</v>
      </c>
      <c r="G13" s="240">
        <f>'EUS 2017'!G13*'EUS 2018'!$B$1</f>
        <v>75379.524999999994</v>
      </c>
      <c r="H13" s="240">
        <f>'EUS 2017'!H13*'EUS 2018'!$B$1</f>
        <v>19411.449999999997</v>
      </c>
      <c r="I13" s="240">
        <f>'EUS 2017'!I13*'EUS 2018'!$B$1</f>
        <v>31094.399999999998</v>
      </c>
      <c r="J13" s="240">
        <f>'EUS 2017'!J13*'EUS 2018'!$B$1</f>
        <v>30619.824999999997</v>
      </c>
      <c r="K13" s="240">
        <f>'EUS 2017'!K13*'EUS 2018'!$B$1</f>
        <v>0</v>
      </c>
      <c r="L13" s="240">
        <f>'EUS 2017'!L13*'EUS 2018'!$B$1</f>
        <v>0</v>
      </c>
      <c r="M13" s="240">
        <f>'EUS 2017'!M13*'EUS 2018'!$B$1</f>
        <v>0</v>
      </c>
      <c r="N13" s="240">
        <f>'EUS 2017'!N13*'EUS 2018'!$B$1</f>
        <v>0</v>
      </c>
      <c r="O13" s="241">
        <f>'EUS 2017'!O13*'EUS 2018'!$B$1</f>
        <v>281693.57499999995</v>
      </c>
      <c r="P13" s="242">
        <f t="shared" si="0"/>
        <v>1446457.4499999997</v>
      </c>
      <c r="Q13" s="241">
        <f>'EUS 2017'!Q13*'EUS 2018'!$B$1</f>
        <v>140846.78749999998</v>
      </c>
      <c r="R13" s="244">
        <f>P13-O13</f>
        <v>1164763.8749999998</v>
      </c>
      <c r="S13" s="243">
        <f>+P13-'EUS 2017'!S13</f>
        <v>0</v>
      </c>
    </row>
    <row r="14" spans="1:20" x14ac:dyDescent="0.25">
      <c r="A14" s="220"/>
      <c r="B14" s="239">
        <v>11</v>
      </c>
      <c r="C14" s="240">
        <f>'EUS 2017'!C14*'EUS 2018'!$B$1</f>
        <v>355941.49999999994</v>
      </c>
      <c r="D14" s="241">
        <f>'EUS 2017'!D14*'EUS 2018'!$B$1</f>
        <v>76526.5</v>
      </c>
      <c r="E14" s="240">
        <f>'EUS 2017'!E14*'EUS 2018'!$B$1</f>
        <v>327629.97499999998</v>
      </c>
      <c r="F14" s="241">
        <f>'EUS 2017'!F14*'EUS 2018'!$B$1</f>
        <v>99663.824999999997</v>
      </c>
      <c r="G14" s="240">
        <f>'EUS 2017'!G14*'EUS 2018'!$B$1</f>
        <v>56184.35</v>
      </c>
      <c r="H14" s="240">
        <f>'EUS 2017'!H14*'EUS 2018'!$B$1</f>
        <v>19411.449999999997</v>
      </c>
      <c r="I14" s="240">
        <f>'EUS 2017'!I14*'EUS 2018'!$B$1</f>
        <v>23145.524999999998</v>
      </c>
      <c r="J14" s="240">
        <f>'EUS 2017'!J14*'EUS 2018'!$B$1</f>
        <v>30619.824999999997</v>
      </c>
      <c r="K14" s="240">
        <f>'EUS 2017'!K14*'EUS 2018'!$B$1</f>
        <v>0</v>
      </c>
      <c r="L14" s="240">
        <f>'EUS 2017'!L14*'EUS 2018'!$B$1</f>
        <v>0</v>
      </c>
      <c r="M14" s="240">
        <f>'EUS 2017'!M14*'EUS 2018'!$B$1</f>
        <v>0</v>
      </c>
      <c r="N14" s="240">
        <f>'EUS 2017'!N14*'EUS 2018'!$B$1</f>
        <v>0</v>
      </c>
      <c r="O14" s="241">
        <f>'EUS 2017'!O14*'EUS 2018'!$B$1</f>
        <v>254929.8</v>
      </c>
      <c r="P14" s="242">
        <f t="shared" si="0"/>
        <v>1244052.7499999998</v>
      </c>
      <c r="Q14" s="241">
        <f>'EUS 2017'!Q14*'EUS 2018'!$B$1</f>
        <v>127464.9</v>
      </c>
      <c r="R14" s="244">
        <f>P14-O14</f>
        <v>989122.94999999972</v>
      </c>
      <c r="S14" s="243">
        <f>R14*20%</f>
        <v>197824.58999999997</v>
      </c>
      <c r="T14" s="222">
        <f>R14-S14</f>
        <v>791298.35999999975</v>
      </c>
    </row>
    <row r="15" spans="1:20" x14ac:dyDescent="0.25">
      <c r="A15" s="220"/>
      <c r="B15" s="239">
        <v>12</v>
      </c>
      <c r="C15" s="240">
        <f>'EUS 2017'!C15*'EUS 2018'!$B$1</f>
        <v>329575.42499999999</v>
      </c>
      <c r="D15" s="241">
        <f>'EUS 2017'!D15*'EUS 2018'!$B$1</f>
        <v>70859.274999999994</v>
      </c>
      <c r="E15" s="240">
        <f>'EUS 2017'!E15*'EUS 2018'!$B$1</f>
        <v>241833.37499999997</v>
      </c>
      <c r="F15" s="241">
        <f>'EUS 2017'!F15*'EUS 2018'!$B$1</f>
        <v>92281.774999999994</v>
      </c>
      <c r="G15" s="240">
        <f>'EUS 2017'!G15*'EUS 2018'!$B$1</f>
        <v>47516.95</v>
      </c>
      <c r="H15" s="240">
        <f>'EUS 2017'!H15*'EUS 2018'!$B$1</f>
        <v>72236.875</v>
      </c>
      <c r="I15" s="240">
        <f>'EUS 2017'!I15*'EUS 2018'!$B$1</f>
        <v>18487.924999999999</v>
      </c>
      <c r="J15" s="240">
        <f>'EUS 2017'!J15*'EUS 2018'!$B$1</f>
        <v>50587.85</v>
      </c>
      <c r="K15" s="240">
        <f>'EUS 2017'!K15*'EUS 2018'!$B$1</f>
        <v>0</v>
      </c>
      <c r="L15" s="240">
        <f>'EUS 2017'!L15*'EUS 2018'!$B$1</f>
        <v>0</v>
      </c>
      <c r="M15" s="240">
        <f>'EUS 2017'!M15*'EUS 2018'!$B$1</f>
        <v>0</v>
      </c>
      <c r="N15" s="240">
        <f>'EUS 2017'!N15*'EUS 2018'!$B$1</f>
        <v>0</v>
      </c>
      <c r="O15" s="241">
        <f>'EUS 2017'!O15*'EUS 2018'!$B$1</f>
        <v>230703.92499999999</v>
      </c>
      <c r="P15" s="242">
        <f>SUM(C15:O15)</f>
        <v>1154083.375</v>
      </c>
      <c r="Q15" s="241">
        <f>'EUS 2017'!Q15*'EUS 2018'!$B$1</f>
        <v>115351.96249999999</v>
      </c>
      <c r="R15" s="244">
        <f>P15-O15</f>
        <v>923379.45</v>
      </c>
      <c r="S15" s="243">
        <f>+P15-'EUS 2017'!S15</f>
        <v>0</v>
      </c>
    </row>
    <row r="16" spans="1:20" x14ac:dyDescent="0.25">
      <c r="A16" s="220"/>
      <c r="B16" s="239">
        <v>13</v>
      </c>
      <c r="C16" s="240">
        <f>'EUS 2017'!C16*'EUS 2018'!$B$1</f>
        <v>305150.69999999995</v>
      </c>
      <c r="D16" s="241">
        <f>'EUS 2017'!D16*'EUS 2018'!$B$1</f>
        <v>65608.2</v>
      </c>
      <c r="E16" s="240">
        <f>'EUS 2017'!E16*'EUS 2018'!$B$1</f>
        <v>179959.24999999997</v>
      </c>
      <c r="F16" s="241">
        <f>'EUS 2017'!F16*'EUS 2018'!$B$1</f>
        <v>85441.95</v>
      </c>
      <c r="G16" s="240">
        <f>'EUS 2017'!G16*'EUS 2018'!$B$1</f>
        <v>35079.599999999999</v>
      </c>
      <c r="H16" s="240">
        <f>'EUS 2017'!H16*'EUS 2018'!$B$1</f>
        <v>70099.75</v>
      </c>
      <c r="I16" s="240">
        <f>'EUS 2017'!I16*'EUS 2018'!$B$1</f>
        <v>13341.4</v>
      </c>
      <c r="J16" s="240">
        <f>'EUS 2017'!J16*'EUS 2018'!$B$1</f>
        <v>50587.85</v>
      </c>
      <c r="K16" s="240">
        <f>'EUS 2017'!K16*'EUS 2018'!$B$1</f>
        <v>0</v>
      </c>
      <c r="L16" s="240">
        <f>'EUS 2017'!L16*'EUS 2018'!$B$1</f>
        <v>0</v>
      </c>
      <c r="M16" s="240">
        <f>'EUS 2017'!M16*'EUS 2018'!$B$1</f>
        <v>0</v>
      </c>
      <c r="N16" s="240">
        <f>'EUS 2017'!N16*'EUS 2018'!$B$1</f>
        <v>0</v>
      </c>
      <c r="O16" s="241">
        <f>'EUS 2017'!O16*'EUS 2018'!$B$1</f>
        <v>0</v>
      </c>
      <c r="P16" s="242">
        <f t="shared" si="0"/>
        <v>805268.69999999984</v>
      </c>
      <c r="Q16" s="241">
        <f>'EUS 2017'!Q16*'EUS 2018'!$B$1</f>
        <v>0</v>
      </c>
      <c r="S16" s="243">
        <f>+P16-'EUS 2017'!S16</f>
        <v>0</v>
      </c>
    </row>
    <row r="17" spans="1:19" x14ac:dyDescent="0.25">
      <c r="A17" s="220"/>
      <c r="B17" s="239">
        <v>14</v>
      </c>
      <c r="C17" s="240">
        <f>'EUS 2017'!C17*'EUS 2018'!$B$1</f>
        <v>282500.25</v>
      </c>
      <c r="D17" s="241">
        <f>'EUS 2017'!D17*'EUS 2018'!$B$1</f>
        <v>60736.374999999993</v>
      </c>
      <c r="E17" s="240">
        <f>'EUS 2017'!E17*'EUS 2018'!$B$1</f>
        <v>135937.54999999999</v>
      </c>
      <c r="F17" s="241">
        <f>'EUS 2017'!F17*'EUS 2018'!$B$1</f>
        <v>79100.274999999994</v>
      </c>
      <c r="G17" s="240">
        <f>'EUS 2017'!G17*'EUS 2018'!$B$1</f>
        <v>26450.124999999996</v>
      </c>
      <c r="H17" s="240">
        <f>'EUS 2017'!H17*'EUS 2018'!$B$1</f>
        <v>69540.099999999991</v>
      </c>
      <c r="I17" s="240">
        <f>'EUS 2017'!I17*'EUS 2018'!$B$1</f>
        <v>9862.5499999999993</v>
      </c>
      <c r="J17" s="240">
        <f>'EUS 2017'!J17*'EUS 2018'!$B$1</f>
        <v>50587.85</v>
      </c>
      <c r="K17" s="240">
        <f>'EUS 2017'!K17*'EUS 2018'!$B$1</f>
        <v>0</v>
      </c>
      <c r="L17" s="240">
        <f>'EUS 2017'!L17*'EUS 2018'!$B$1</f>
        <v>0</v>
      </c>
      <c r="M17" s="240">
        <f>'EUS 2017'!M17*'EUS 2018'!$B$1</f>
        <v>0</v>
      </c>
      <c r="N17" s="240">
        <f>'EUS 2017'!N17*'EUS 2018'!$B$1</f>
        <v>0</v>
      </c>
      <c r="O17" s="241">
        <f>'EUS 2017'!O17*'EUS 2018'!$B$1</f>
        <v>0</v>
      </c>
      <c r="P17" s="242">
        <f t="shared" si="0"/>
        <v>714715.07499999995</v>
      </c>
      <c r="Q17" s="241">
        <f>'EUS 2017'!Q17*'EUS 2018'!$B$1</f>
        <v>0</v>
      </c>
      <c r="R17" s="222">
        <f>P17-P18</f>
        <v>75743.400000000023</v>
      </c>
      <c r="S17" s="243">
        <f>+P17-'EUS 2017'!S17</f>
        <v>0</v>
      </c>
    </row>
    <row r="18" spans="1:19" x14ac:dyDescent="0.25">
      <c r="A18" s="220"/>
      <c r="B18" s="239">
        <v>15</v>
      </c>
      <c r="C18" s="240">
        <f>'EUS 2017'!C18*'EUS 2018'!$B$1</f>
        <v>261593.32499999998</v>
      </c>
      <c r="D18" s="241">
        <f>'EUS 2017'!D18*'EUS 2018'!$B$1</f>
        <v>56241.749999999993</v>
      </c>
      <c r="E18" s="240">
        <f>'EUS 2017'!E18*'EUS 2018'!$B$1</f>
        <v>109187.09999999999</v>
      </c>
      <c r="F18" s="241">
        <f>'EUS 2017'!F18*'EUS 2018'!$B$1</f>
        <v>73246.5</v>
      </c>
      <c r="G18" s="240">
        <f>'EUS 2017'!G18*'EUS 2018'!$B$1</f>
        <v>20513.324999999997</v>
      </c>
      <c r="H18" s="240">
        <f>'EUS 2017'!H18*'EUS 2018'!$B$1</f>
        <v>59884.599999999991</v>
      </c>
      <c r="I18" s="240">
        <f>'EUS 2017'!I18*'EUS 2018'!$B$1</f>
        <v>7717.2249999999995</v>
      </c>
      <c r="J18" s="240">
        <f>'EUS 2017'!J18*'EUS 2018'!$B$1</f>
        <v>50587.85</v>
      </c>
      <c r="K18" s="240">
        <f>'EUS 2017'!K18*'EUS 2018'!$B$1</f>
        <v>0</v>
      </c>
      <c r="L18" s="240">
        <f>'EUS 2017'!L18*'EUS 2018'!$B$1</f>
        <v>0</v>
      </c>
      <c r="M18" s="240">
        <f>'EUS 2017'!M18*'EUS 2018'!$B$1</f>
        <v>0</v>
      </c>
      <c r="N18" s="240">
        <f>'EUS 2017'!N18*'EUS 2018'!$B$1</f>
        <v>0</v>
      </c>
      <c r="O18" s="241">
        <f>'EUS 2017'!O18*'EUS 2018'!$B$1</f>
        <v>0</v>
      </c>
      <c r="P18" s="242">
        <f t="shared" si="0"/>
        <v>638971.67499999993</v>
      </c>
      <c r="Q18" s="241">
        <f>'EUS 2017'!Q18*'EUS 2018'!$B$1</f>
        <v>0</v>
      </c>
      <c r="S18" s="243">
        <f>+P18-'EUS 2017'!S18</f>
        <v>0</v>
      </c>
    </row>
    <row r="19" spans="1:19" x14ac:dyDescent="0.25">
      <c r="A19" s="220"/>
      <c r="B19" s="239">
        <v>16</v>
      </c>
      <c r="C19" s="240">
        <f>'EUS 2017'!C19*'EUS 2018'!$B$1</f>
        <v>242169.57499999998</v>
      </c>
      <c r="D19" s="241">
        <f>'EUS 2017'!D19*'EUS 2018'!$B$1</f>
        <v>52066.924999999996</v>
      </c>
      <c r="E19" s="240">
        <f>'EUS 2017'!E19*'EUS 2018'!$B$1</f>
        <v>107234.47499999999</v>
      </c>
      <c r="F19" s="241">
        <f>'EUS 2017'!F19*'EUS 2018'!$B$1</f>
        <v>67807.849999999991</v>
      </c>
      <c r="G19" s="240">
        <f>'EUS 2017'!G19*'EUS 2018'!$B$1</f>
        <v>19978.274999999998</v>
      </c>
      <c r="H19" s="240">
        <f>'EUS 2017'!H19*'EUS 2018'!$B$1</f>
        <v>63092.849999999991</v>
      </c>
      <c r="I19" s="240">
        <f>'EUS 2017'!I19*'EUS 2018'!$B$1</f>
        <v>7496.8499999999995</v>
      </c>
      <c r="J19" s="240">
        <f>'EUS 2017'!J19*'EUS 2018'!$B$1</f>
        <v>50587.85</v>
      </c>
      <c r="K19" s="240">
        <f>'EUS 2017'!K19*'EUS 2018'!$B$1</f>
        <v>0</v>
      </c>
      <c r="L19" s="240">
        <f>'EUS 2017'!L19*'EUS 2018'!$B$1</f>
        <v>0</v>
      </c>
      <c r="M19" s="240">
        <f>'EUS 2017'!M19*'EUS 2018'!$B$1</f>
        <v>0</v>
      </c>
      <c r="N19" s="240">
        <f>'EUS 2017'!N19*'EUS 2018'!$B$1</f>
        <v>0</v>
      </c>
      <c r="O19" s="241">
        <f>'EUS 2017'!O19*'EUS 2018'!$B$1</f>
        <v>0</v>
      </c>
      <c r="P19" s="242">
        <f t="shared" si="0"/>
        <v>610434.64999999991</v>
      </c>
      <c r="Q19" s="241">
        <f>'EUS 2017'!Q19*'EUS 2018'!$B$1</f>
        <v>0</v>
      </c>
      <c r="S19" s="243">
        <f>+P19-'EUS 2017'!S19</f>
        <v>0</v>
      </c>
    </row>
    <row r="20" spans="1:19" x14ac:dyDescent="0.25">
      <c r="A20" s="220"/>
      <c r="B20" s="239">
        <v>17</v>
      </c>
      <c r="C20" s="240">
        <f>'EUS 2017'!C20*'EUS 2018'!$B$1</f>
        <v>224239.24999999997</v>
      </c>
      <c r="D20" s="241">
        <f>'EUS 2017'!D20*'EUS 2018'!$B$1</f>
        <v>48210.874999999993</v>
      </c>
      <c r="E20" s="240">
        <f>'EUS 2017'!E20*'EUS 2018'!$B$1</f>
        <v>82910.2</v>
      </c>
      <c r="F20" s="241">
        <f>'EUS 2017'!F20*'EUS 2018'!$B$1</f>
        <v>62786.374999999993</v>
      </c>
      <c r="G20" s="240">
        <f>'EUS 2017'!G20*'EUS 2018'!$B$1</f>
        <v>14397.15</v>
      </c>
      <c r="H20" s="240">
        <f>'EUS 2017'!H20*'EUS 2018'!$B$1</f>
        <v>58696.624999999993</v>
      </c>
      <c r="I20" s="240">
        <f>'EUS 2017'!I20*'EUS 2018'!$B$1</f>
        <v>5376.1249999999991</v>
      </c>
      <c r="J20" s="240">
        <f>'EUS 2017'!J20*'EUS 2018'!$B$1</f>
        <v>50587.85</v>
      </c>
      <c r="K20" s="240">
        <f>'EUS 2017'!K20*'EUS 2018'!$B$1</f>
        <v>0</v>
      </c>
      <c r="L20" s="240">
        <f>'EUS 2017'!L20*'EUS 2018'!$B$1</f>
        <v>0</v>
      </c>
      <c r="M20" s="240">
        <f>'EUS 2017'!M20*'EUS 2018'!$B$1</f>
        <v>0</v>
      </c>
      <c r="N20" s="240">
        <f>'EUS 2017'!N20*'EUS 2018'!$B$1</f>
        <v>0</v>
      </c>
      <c r="O20" s="241">
        <f>'EUS 2017'!O20*'EUS 2018'!$B$1</f>
        <v>0</v>
      </c>
      <c r="P20" s="242">
        <f t="shared" si="0"/>
        <v>547204.44999999995</v>
      </c>
      <c r="Q20" s="241">
        <f>'EUS 2017'!Q20*'EUS 2018'!$B$1</f>
        <v>0</v>
      </c>
      <c r="S20" s="243">
        <f>+P20-'EUS 2017'!S20</f>
        <v>0</v>
      </c>
    </row>
    <row r="21" spans="1:19" x14ac:dyDescent="0.25">
      <c r="A21" s="220"/>
      <c r="B21" s="239">
        <v>18</v>
      </c>
      <c r="C21" s="240">
        <f>'EUS 2017'!C21*'EUS 2018'!$B$1</f>
        <v>207634.24999999997</v>
      </c>
      <c r="D21" s="241">
        <f>'EUS 2017'!D21*'EUS 2018'!$B$1</f>
        <v>44640.799999999996</v>
      </c>
      <c r="E21" s="240">
        <f>'EUS 2017'!E21*'EUS 2018'!$B$1</f>
        <v>80293.375</v>
      </c>
      <c r="F21" s="241">
        <f>'EUS 2017'!F21*'EUS 2018'!$B$1</f>
        <v>58137.999999999993</v>
      </c>
      <c r="G21" s="240">
        <f>'EUS 2017'!G21*'EUS 2018'!$B$1</f>
        <v>13165.099999999999</v>
      </c>
      <c r="H21" s="240">
        <f>'EUS 2017'!H21*'EUS 2018'!$B$1</f>
        <v>58696.624999999993</v>
      </c>
      <c r="I21" s="240">
        <f>'EUS 2017'!I21*'EUS 2018'!$B$1</f>
        <v>4859.5249999999996</v>
      </c>
      <c r="J21" s="240">
        <f>'EUS 2017'!J21*'EUS 2018'!$B$1</f>
        <v>50587.85</v>
      </c>
      <c r="K21" s="240">
        <f>'EUS 2017'!K21*'EUS 2018'!$B$1</f>
        <v>0</v>
      </c>
      <c r="L21" s="240">
        <f>'EUS 2017'!L21*'EUS 2018'!$B$1</f>
        <v>0</v>
      </c>
      <c r="M21" s="240">
        <f>'EUS 2017'!M21*'EUS 2018'!$B$1</f>
        <v>0</v>
      </c>
      <c r="N21" s="240">
        <f>'EUS 2017'!N21*'EUS 2018'!$B$1</f>
        <v>0</v>
      </c>
      <c r="O21" s="241">
        <f>'EUS 2017'!O21*'EUS 2018'!$B$1</f>
        <v>0</v>
      </c>
      <c r="P21" s="242">
        <f t="shared" si="0"/>
        <v>518015.52499999991</v>
      </c>
      <c r="Q21" s="241">
        <f>'EUS 2017'!Q21*'EUS 2018'!$B$1</f>
        <v>0</v>
      </c>
      <c r="S21" s="243">
        <f>+P21-'EUS 2017'!S21</f>
        <v>0</v>
      </c>
    </row>
    <row r="22" spans="1:19" x14ac:dyDescent="0.25">
      <c r="A22" s="220"/>
      <c r="B22" s="239">
        <v>19</v>
      </c>
      <c r="C22" s="240">
        <f>'EUS 2017'!C22*'EUS 2018'!$B$1</f>
        <v>194055.05</v>
      </c>
      <c r="D22" s="241">
        <f>'EUS 2017'!D22*'EUS 2018'!$B$1</f>
        <v>38810.6</v>
      </c>
      <c r="E22" s="240">
        <f>'EUS 2017'!E22*'EUS 2018'!$B$1</f>
        <v>87818.924999999988</v>
      </c>
      <c r="F22" s="241">
        <f>'EUS 2017'!F22*'EUS 2018'!$B$1</f>
        <v>54336.274999999994</v>
      </c>
      <c r="G22" s="240">
        <f>'EUS 2017'!G22*'EUS 2018'!$B$1</f>
        <v>13347.55</v>
      </c>
      <c r="H22" s="240">
        <f>'EUS 2017'!H22*'EUS 2018'!$B$1</f>
        <v>61180.2</v>
      </c>
      <c r="I22" s="240">
        <f>'EUS 2017'!I22*'EUS 2018'!$B$1</f>
        <v>4937.4249999999993</v>
      </c>
      <c r="J22" s="240">
        <f>'EUS 2017'!J22*'EUS 2018'!$B$1</f>
        <v>50587.85</v>
      </c>
      <c r="K22" s="240">
        <f>'EUS 2017'!K22*'EUS 2018'!$B$1</f>
        <v>0</v>
      </c>
      <c r="L22" s="240">
        <f>'EUS 2017'!L22*'EUS 2018'!$B$1</f>
        <v>0</v>
      </c>
      <c r="M22" s="240">
        <f>'EUS 2017'!M22*'EUS 2018'!$B$1</f>
        <v>0</v>
      </c>
      <c r="N22" s="240">
        <f>'EUS 2017'!N22*'EUS 2018'!$B$1</f>
        <v>0</v>
      </c>
      <c r="O22" s="241">
        <f>'EUS 2017'!O22*'EUS 2018'!$B$1</f>
        <v>0</v>
      </c>
      <c r="P22" s="242">
        <f t="shared" si="0"/>
        <v>505073.87499999994</v>
      </c>
      <c r="Q22" s="241">
        <f>'EUS 2017'!Q22*'EUS 2018'!$B$1</f>
        <v>0</v>
      </c>
      <c r="S22" s="243">
        <f>+P22-'EUS 2017'!S22</f>
        <v>0</v>
      </c>
    </row>
    <row r="23" spans="1:19" x14ac:dyDescent="0.25">
      <c r="A23" s="220"/>
      <c r="B23" s="239">
        <v>20</v>
      </c>
      <c r="C23" s="240">
        <f>'EUS 2017'!C23*'EUS 2018'!$B$1</f>
        <v>181368.62499999997</v>
      </c>
      <c r="D23" s="241">
        <f>'EUS 2017'!D23*'EUS 2018'!$B$1</f>
        <v>36273.724999999999</v>
      </c>
      <c r="E23" s="240">
        <f>'EUS 2017'!E23*'EUS 2018'!$B$1</f>
        <v>69176.224999999991</v>
      </c>
      <c r="F23" s="241">
        <f>'EUS 2017'!F23*'EUS 2018'!$B$1</f>
        <v>50782.6</v>
      </c>
      <c r="G23" s="240">
        <f>'EUS 2017'!G23*'EUS 2018'!$B$1</f>
        <v>9009.75</v>
      </c>
      <c r="H23" s="240">
        <f>'EUS 2017'!H23*'EUS 2018'!$B$1</f>
        <v>58777.599999999991</v>
      </c>
      <c r="I23" s="240">
        <f>'EUS 2017'!I23*'EUS 2018'!$B$1</f>
        <v>3215.4249999999997</v>
      </c>
      <c r="J23" s="240">
        <f>'EUS 2017'!J23*'EUS 2018'!$B$1</f>
        <v>50587.85</v>
      </c>
      <c r="K23" s="240">
        <f>'EUS 2017'!K23*'EUS 2018'!$B$1</f>
        <v>0</v>
      </c>
      <c r="L23" s="240">
        <f>'EUS 2017'!L23*'EUS 2018'!$B$1</f>
        <v>0</v>
      </c>
      <c r="M23" s="240">
        <f>'EUS 2017'!M23*'EUS 2018'!$B$1</f>
        <v>0</v>
      </c>
      <c r="N23" s="240">
        <f>'EUS 2017'!N23*'EUS 2018'!$B$1</f>
        <v>0</v>
      </c>
      <c r="O23" s="241">
        <f>'EUS 2017'!O23*'EUS 2018'!$B$1</f>
        <v>0</v>
      </c>
      <c r="P23" s="242">
        <f t="shared" si="0"/>
        <v>459191.79999999987</v>
      </c>
      <c r="Q23" s="241">
        <f>'EUS 2017'!Q23*'EUS 2018'!$B$1</f>
        <v>0</v>
      </c>
      <c r="S23" s="243">
        <f>+P23-'EUS 2017'!S23</f>
        <v>0</v>
      </c>
    </row>
    <row r="25" spans="1:19" x14ac:dyDescent="0.25">
      <c r="C25" s="222">
        <f>C19/30</f>
        <v>8072.3191666666662</v>
      </c>
      <c r="D25" s="220">
        <f>104619/30</f>
        <v>3487.3</v>
      </c>
      <c r="O25" s="222">
        <f>1656545-303683</f>
        <v>1352862</v>
      </c>
      <c r="P25" s="220">
        <v>1</v>
      </c>
    </row>
    <row r="26" spans="1:19" x14ac:dyDescent="0.25">
      <c r="C26" s="220">
        <f>4725/30</f>
        <v>157.5</v>
      </c>
      <c r="O26" s="222">
        <f>P13-O13</f>
        <v>1164763.8749999998</v>
      </c>
      <c r="P26" s="222">
        <f>O25-O26</f>
        <v>188098.12500000023</v>
      </c>
      <c r="Q26" s="220">
        <v>137412</v>
      </c>
    </row>
    <row r="27" spans="1:19" x14ac:dyDescent="0.25">
      <c r="C27" s="220">
        <f>D19/30</f>
        <v>1735.5641666666666</v>
      </c>
      <c r="Q27" s="222">
        <f>P26-Q26</f>
        <v>50686.125000000233</v>
      </c>
    </row>
    <row r="29" spans="1:19" x14ac:dyDescent="0.25">
      <c r="A29" s="341" t="s">
        <v>72</v>
      </c>
      <c r="B29" s="341"/>
      <c r="C29" s="341"/>
      <c r="D29" s="341"/>
      <c r="E29" s="341"/>
      <c r="F29" s="341"/>
      <c r="H29" s="341" t="s">
        <v>14</v>
      </c>
      <c r="I29" s="341"/>
      <c r="J29" s="341"/>
      <c r="K29" s="341"/>
      <c r="L29" s="341"/>
      <c r="M29" s="341"/>
      <c r="N29" s="341"/>
      <c r="O29" s="341"/>
      <c r="P29" s="341"/>
      <c r="Q29" s="341"/>
      <c r="R29" s="341"/>
    </row>
    <row r="31" spans="1:19" x14ac:dyDescent="0.25">
      <c r="A31" s="342" t="s">
        <v>15</v>
      </c>
      <c r="B31" s="342" t="s">
        <v>16</v>
      </c>
      <c r="C31" s="342" t="s">
        <v>67</v>
      </c>
      <c r="D31" s="343" t="s">
        <v>18</v>
      </c>
      <c r="E31" s="343"/>
      <c r="F31" s="343"/>
      <c r="G31" s="223"/>
      <c r="H31" s="342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69</v>
      </c>
      <c r="O31" s="338"/>
      <c r="P31" s="338"/>
      <c r="Q31" s="338"/>
      <c r="R31" s="339"/>
    </row>
    <row r="32" spans="1:19" x14ac:dyDescent="0.25">
      <c r="A32" s="342"/>
      <c r="B32" s="342"/>
      <c r="C32" s="342"/>
      <c r="D32" s="224" t="s">
        <v>23</v>
      </c>
      <c r="E32" s="224">
        <v>0.25</v>
      </c>
      <c r="F32" s="225">
        <v>0.5</v>
      </c>
      <c r="G32" s="223"/>
      <c r="H32" s="342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24">
        <v>0.30599999999999999</v>
      </c>
    </row>
    <row r="33" spans="1:18" x14ac:dyDescent="0.25">
      <c r="A33" s="224">
        <v>1</v>
      </c>
      <c r="B33" s="245">
        <f>VLOOKUP(A33,B3:C23,2,0)</f>
        <v>627924.22499999998</v>
      </c>
      <c r="C33" s="245">
        <f>VLOOKUP(A33,B3:E23,4,0)</f>
        <v>2332194.7999999998</v>
      </c>
      <c r="D33" s="245">
        <f>ROUND((B33+C33)/190,0)</f>
        <v>15580</v>
      </c>
      <c r="E33" s="246">
        <f>ROUND(D33*1.25,0)</f>
        <v>19475</v>
      </c>
      <c r="F33" s="246">
        <f>ROUND(D33*1.5,0)</f>
        <v>23370</v>
      </c>
      <c r="H33" s="224">
        <v>1</v>
      </c>
      <c r="I33" s="245">
        <f>VLOOKUP(H33,B4:C23,2,0)</f>
        <v>627924.22499999998</v>
      </c>
      <c r="J33" s="245">
        <f>VLOOKUP(H33,B4:E23,4,0)</f>
        <v>2332194.7999999998</v>
      </c>
      <c r="K33" s="245">
        <f>VLOOKUP(H33,B4:H23,7,0)</f>
        <v>19411.449999999997</v>
      </c>
      <c r="L33" s="245">
        <f>VLOOKUP(H33,B4:J23,9,0)</f>
        <v>0</v>
      </c>
      <c r="M33" s="241">
        <f>SUM(I33:L33)</f>
        <v>2979530.4750000001</v>
      </c>
      <c r="N33" s="247">
        <f>ROUND(M33*0.306,0)</f>
        <v>911736</v>
      </c>
      <c r="O33" s="248">
        <f>ROUND($M33*$O$32*3,0)</f>
        <v>1340789</v>
      </c>
      <c r="P33" s="248">
        <f>ROUND($M33*$P$32*3,0)</f>
        <v>679333</v>
      </c>
      <c r="Q33" s="248">
        <f>ROUND($M33*$Q$32*3,0)</f>
        <v>715087</v>
      </c>
      <c r="R33" s="249">
        <f>SUM(O33:Q33)</f>
        <v>2735209</v>
      </c>
    </row>
    <row r="34" spans="1:18" x14ac:dyDescent="0.25">
      <c r="A34" s="224">
        <v>2</v>
      </c>
      <c r="B34" s="245">
        <f t="shared" ref="B34:B52" si="1">VLOOKUP(A34,B4:C24,2,0)</f>
        <v>592659.1</v>
      </c>
      <c r="C34" s="245">
        <f t="shared" ref="C34:C52" si="2">VLOOKUP(A34,B4:E24,4,0)</f>
        <v>2231233.3249999997</v>
      </c>
      <c r="D34" s="245">
        <f t="shared" ref="D34:D52" si="3">ROUND((B34+C34)/190,0)</f>
        <v>14863</v>
      </c>
      <c r="E34" s="246">
        <f t="shared" ref="E34:E52" si="4">ROUND(D34*1.25,0)</f>
        <v>18579</v>
      </c>
      <c r="F34" s="246">
        <f t="shared" ref="F34:F52" si="5">ROUND(D34*1.5,0)</f>
        <v>22295</v>
      </c>
      <c r="H34" s="224">
        <v>2</v>
      </c>
      <c r="I34" s="245">
        <f t="shared" ref="I34:I52" si="6">VLOOKUP(H34,B5:C24,2,0)</f>
        <v>592659.1</v>
      </c>
      <c r="J34" s="245">
        <f t="shared" ref="J34:J52" si="7">VLOOKUP(H34,B5:E24,4,0)</f>
        <v>2231233.3249999997</v>
      </c>
      <c r="K34" s="245">
        <f t="shared" ref="K34:K52" si="8">VLOOKUP(H34,B5:H24,7,0)</f>
        <v>19411.449999999997</v>
      </c>
      <c r="L34" s="245">
        <f t="shared" ref="L34:L52" si="9">VLOOKUP(H34,B5:J24,9,0)</f>
        <v>0</v>
      </c>
      <c r="M34" s="241">
        <f t="shared" ref="M34:M52" si="10">SUM(I34:L34)</f>
        <v>2843303.875</v>
      </c>
      <c r="N34" s="247">
        <f t="shared" ref="N34:N52" si="11">ROUND(M34*0.306,0)</f>
        <v>870051</v>
      </c>
      <c r="O34" s="248">
        <f t="shared" ref="O34:O52" si="12">ROUND($M34*$O$32*3,0)</f>
        <v>1279487</v>
      </c>
      <c r="P34" s="248">
        <f t="shared" ref="P34:P52" si="13">ROUND($M34*$P$32*3,0)</f>
        <v>648273</v>
      </c>
      <c r="Q34" s="248">
        <f t="shared" ref="Q34:Q52" si="14">ROUND($M34*$Q$32*3,0)</f>
        <v>682393</v>
      </c>
      <c r="R34" s="249">
        <f t="shared" ref="R34:R52" si="15">SUM(O34:Q34)</f>
        <v>2610153</v>
      </c>
    </row>
    <row r="35" spans="1:18" x14ac:dyDescent="0.25">
      <c r="A35" s="224">
        <v>3</v>
      </c>
      <c r="B35" s="245">
        <f t="shared" si="1"/>
        <v>625751.22499999998</v>
      </c>
      <c r="C35" s="245">
        <f t="shared" si="2"/>
        <v>1839877.0499999998</v>
      </c>
      <c r="D35" s="245">
        <f t="shared" si="3"/>
        <v>12977</v>
      </c>
      <c r="E35" s="246">
        <f t="shared" si="4"/>
        <v>16221</v>
      </c>
      <c r="F35" s="246">
        <f t="shared" si="5"/>
        <v>19466</v>
      </c>
      <c r="H35" s="224">
        <v>3</v>
      </c>
      <c r="I35" s="245">
        <f t="shared" si="6"/>
        <v>625751.22499999998</v>
      </c>
      <c r="J35" s="245">
        <f t="shared" si="7"/>
        <v>1839877.0499999998</v>
      </c>
      <c r="K35" s="245">
        <f t="shared" si="8"/>
        <v>19411.449999999997</v>
      </c>
      <c r="L35" s="245">
        <f t="shared" si="9"/>
        <v>26627.449999999997</v>
      </c>
      <c r="M35" s="241">
        <f t="shared" si="10"/>
        <v>2511667.1750000003</v>
      </c>
      <c r="N35" s="247">
        <f t="shared" si="11"/>
        <v>768570</v>
      </c>
      <c r="O35" s="248">
        <f t="shared" si="12"/>
        <v>1130250</v>
      </c>
      <c r="P35" s="248">
        <f t="shared" si="13"/>
        <v>572660</v>
      </c>
      <c r="Q35" s="248">
        <f t="shared" si="14"/>
        <v>602800</v>
      </c>
      <c r="R35" s="249">
        <f t="shared" si="15"/>
        <v>2305710</v>
      </c>
    </row>
    <row r="36" spans="1:18" x14ac:dyDescent="0.25">
      <c r="A36" s="224">
        <v>4</v>
      </c>
      <c r="B36" s="245">
        <f t="shared" si="1"/>
        <v>590346.69999999995</v>
      </c>
      <c r="C36" s="245">
        <f t="shared" si="2"/>
        <v>1785081.575</v>
      </c>
      <c r="D36" s="245">
        <f t="shared" si="3"/>
        <v>12502</v>
      </c>
      <c r="E36" s="246">
        <f t="shared" si="4"/>
        <v>15628</v>
      </c>
      <c r="F36" s="246">
        <f t="shared" si="5"/>
        <v>18753</v>
      </c>
      <c r="H36" s="224">
        <v>4</v>
      </c>
      <c r="I36" s="245">
        <f t="shared" si="6"/>
        <v>590346.69999999995</v>
      </c>
      <c r="J36" s="245">
        <f t="shared" si="7"/>
        <v>1785081.575</v>
      </c>
      <c r="K36" s="245">
        <f t="shared" si="8"/>
        <v>19411.449999999997</v>
      </c>
      <c r="L36" s="245">
        <f t="shared" si="9"/>
        <v>26627.449999999997</v>
      </c>
      <c r="M36" s="241">
        <f t="shared" si="10"/>
        <v>2421467.1750000003</v>
      </c>
      <c r="N36" s="247">
        <f t="shared" si="11"/>
        <v>740969</v>
      </c>
      <c r="O36" s="248">
        <f t="shared" si="12"/>
        <v>1089660</v>
      </c>
      <c r="P36" s="248">
        <f t="shared" si="13"/>
        <v>552095</v>
      </c>
      <c r="Q36" s="248">
        <f t="shared" si="14"/>
        <v>581152</v>
      </c>
      <c r="R36" s="249">
        <f t="shared" si="15"/>
        <v>2222907</v>
      </c>
    </row>
    <row r="37" spans="1:18" x14ac:dyDescent="0.25">
      <c r="A37" s="224">
        <v>5</v>
      </c>
      <c r="B37" s="245">
        <f t="shared" si="1"/>
        <v>556952.19999999995</v>
      </c>
      <c r="C37" s="245">
        <f t="shared" si="2"/>
        <v>1534236.4</v>
      </c>
      <c r="D37" s="245">
        <f t="shared" si="3"/>
        <v>11006</v>
      </c>
      <c r="E37" s="246">
        <f t="shared" si="4"/>
        <v>13758</v>
      </c>
      <c r="F37" s="246">
        <f t="shared" si="5"/>
        <v>16509</v>
      </c>
      <c r="H37" s="224">
        <v>5</v>
      </c>
      <c r="I37" s="245">
        <f t="shared" si="6"/>
        <v>556952.19999999995</v>
      </c>
      <c r="J37" s="245">
        <f t="shared" si="7"/>
        <v>1534236.4</v>
      </c>
      <c r="K37" s="245">
        <f t="shared" si="8"/>
        <v>19411.449999999997</v>
      </c>
      <c r="L37" s="245">
        <f t="shared" si="9"/>
        <v>26627.449999999997</v>
      </c>
      <c r="M37" s="241">
        <f t="shared" si="10"/>
        <v>2137227.5</v>
      </c>
      <c r="N37" s="247">
        <f t="shared" si="11"/>
        <v>653992</v>
      </c>
      <c r="O37" s="248">
        <f t="shared" si="12"/>
        <v>961752</v>
      </c>
      <c r="P37" s="248">
        <f t="shared" si="13"/>
        <v>487288</v>
      </c>
      <c r="Q37" s="248">
        <f t="shared" si="14"/>
        <v>512935</v>
      </c>
      <c r="R37" s="249">
        <f t="shared" si="15"/>
        <v>1961975</v>
      </c>
    </row>
    <row r="38" spans="1:18" x14ac:dyDescent="0.25">
      <c r="A38" s="224">
        <v>6</v>
      </c>
      <c r="B38" s="245">
        <f t="shared" si="1"/>
        <v>525385.27499999991</v>
      </c>
      <c r="C38" s="245">
        <f t="shared" si="2"/>
        <v>1296547.0999999999</v>
      </c>
      <c r="D38" s="245">
        <f t="shared" si="3"/>
        <v>9589</v>
      </c>
      <c r="E38" s="246">
        <f t="shared" si="4"/>
        <v>11986</v>
      </c>
      <c r="F38" s="246">
        <f t="shared" si="5"/>
        <v>14384</v>
      </c>
      <c r="H38" s="224">
        <v>6</v>
      </c>
      <c r="I38" s="245">
        <f t="shared" si="6"/>
        <v>525385.27499999991</v>
      </c>
      <c r="J38" s="245">
        <f t="shared" si="7"/>
        <v>1296547.0999999999</v>
      </c>
      <c r="K38" s="245">
        <f t="shared" si="8"/>
        <v>19411.449999999997</v>
      </c>
      <c r="L38" s="245">
        <f t="shared" si="9"/>
        <v>30619.824999999997</v>
      </c>
      <c r="M38" s="241">
        <f t="shared" si="10"/>
        <v>1871963.6499999997</v>
      </c>
      <c r="N38" s="247">
        <f t="shared" si="11"/>
        <v>572821</v>
      </c>
      <c r="O38" s="248">
        <f t="shared" si="12"/>
        <v>842384</v>
      </c>
      <c r="P38" s="248">
        <f t="shared" si="13"/>
        <v>426808</v>
      </c>
      <c r="Q38" s="248">
        <f t="shared" si="14"/>
        <v>449271</v>
      </c>
      <c r="R38" s="249">
        <f t="shared" si="15"/>
        <v>1718463</v>
      </c>
    </row>
    <row r="39" spans="1:18" x14ac:dyDescent="0.25">
      <c r="A39" s="224">
        <v>7</v>
      </c>
      <c r="B39" s="245">
        <f t="shared" si="1"/>
        <v>484275.6</v>
      </c>
      <c r="C39" s="245">
        <f t="shared" si="2"/>
        <v>972314.99999999988</v>
      </c>
      <c r="D39" s="245">
        <f t="shared" si="3"/>
        <v>7666</v>
      </c>
      <c r="E39" s="246">
        <f t="shared" si="4"/>
        <v>9583</v>
      </c>
      <c r="F39" s="246">
        <f t="shared" si="5"/>
        <v>11499</v>
      </c>
      <c r="H39" s="224">
        <v>7</v>
      </c>
      <c r="I39" s="245">
        <f t="shared" si="6"/>
        <v>484275.6</v>
      </c>
      <c r="J39" s="245">
        <f t="shared" si="7"/>
        <v>972314.99999999988</v>
      </c>
      <c r="K39" s="245">
        <f t="shared" si="8"/>
        <v>19411.449999999997</v>
      </c>
      <c r="L39" s="245">
        <f t="shared" si="9"/>
        <v>30619.824999999997</v>
      </c>
      <c r="M39" s="241">
        <f t="shared" si="10"/>
        <v>1506621.8749999998</v>
      </c>
      <c r="N39" s="247">
        <f t="shared" si="11"/>
        <v>461026</v>
      </c>
      <c r="O39" s="248">
        <f t="shared" si="12"/>
        <v>677980</v>
      </c>
      <c r="P39" s="248">
        <f t="shared" si="13"/>
        <v>343510</v>
      </c>
      <c r="Q39" s="248">
        <f t="shared" si="14"/>
        <v>361589</v>
      </c>
      <c r="R39" s="249">
        <f t="shared" si="15"/>
        <v>1383079</v>
      </c>
    </row>
    <row r="40" spans="1:18" x14ac:dyDescent="0.25">
      <c r="A40" s="224">
        <v>8</v>
      </c>
      <c r="B40" s="245">
        <f t="shared" si="1"/>
        <v>448364.72499999998</v>
      </c>
      <c r="C40" s="245">
        <f t="shared" si="2"/>
        <v>746536.2</v>
      </c>
      <c r="D40" s="245">
        <f t="shared" si="3"/>
        <v>6289</v>
      </c>
      <c r="E40" s="246">
        <f t="shared" si="4"/>
        <v>7861</v>
      </c>
      <c r="F40" s="246">
        <f t="shared" si="5"/>
        <v>9434</v>
      </c>
      <c r="H40" s="224">
        <v>8</v>
      </c>
      <c r="I40" s="245">
        <f t="shared" si="6"/>
        <v>448364.72499999998</v>
      </c>
      <c r="J40" s="245">
        <f t="shared" si="7"/>
        <v>746536.2</v>
      </c>
      <c r="K40" s="245">
        <f t="shared" si="8"/>
        <v>19411.449999999997</v>
      </c>
      <c r="L40" s="245">
        <f t="shared" si="9"/>
        <v>30619.824999999997</v>
      </c>
      <c r="M40" s="241">
        <f t="shared" si="10"/>
        <v>1244932.1999999997</v>
      </c>
      <c r="N40" s="247">
        <f t="shared" si="11"/>
        <v>380949</v>
      </c>
      <c r="O40" s="248">
        <f t="shared" si="12"/>
        <v>560219</v>
      </c>
      <c r="P40" s="248">
        <f t="shared" si="13"/>
        <v>283845</v>
      </c>
      <c r="Q40" s="248">
        <f t="shared" si="14"/>
        <v>298784</v>
      </c>
      <c r="R40" s="249">
        <f t="shared" si="15"/>
        <v>1142848</v>
      </c>
    </row>
    <row r="41" spans="1:18" x14ac:dyDescent="0.25">
      <c r="A41" s="224">
        <v>9</v>
      </c>
      <c r="B41" s="245">
        <f t="shared" si="1"/>
        <v>415111.67499999999</v>
      </c>
      <c r="C41" s="245">
        <f t="shared" si="2"/>
        <v>573622.79999999993</v>
      </c>
      <c r="D41" s="245">
        <f t="shared" si="3"/>
        <v>5204</v>
      </c>
      <c r="E41" s="246">
        <f t="shared" si="4"/>
        <v>6505</v>
      </c>
      <c r="F41" s="246">
        <f t="shared" si="5"/>
        <v>7806</v>
      </c>
      <c r="H41" s="224">
        <v>9</v>
      </c>
      <c r="I41" s="245">
        <f t="shared" si="6"/>
        <v>415111.67499999999</v>
      </c>
      <c r="J41" s="245">
        <f t="shared" si="7"/>
        <v>573622.79999999993</v>
      </c>
      <c r="K41" s="245">
        <f t="shared" si="8"/>
        <v>19411.449999999997</v>
      </c>
      <c r="L41" s="245">
        <f t="shared" si="9"/>
        <v>30619.824999999997</v>
      </c>
      <c r="M41" s="241">
        <f t="shared" si="10"/>
        <v>1038765.7499999998</v>
      </c>
      <c r="N41" s="247">
        <f t="shared" si="11"/>
        <v>317862</v>
      </c>
      <c r="O41" s="248">
        <f t="shared" si="12"/>
        <v>467445</v>
      </c>
      <c r="P41" s="248">
        <f t="shared" si="13"/>
        <v>236839</v>
      </c>
      <c r="Q41" s="248">
        <f t="shared" si="14"/>
        <v>249304</v>
      </c>
      <c r="R41" s="249">
        <f t="shared" si="15"/>
        <v>953588</v>
      </c>
    </row>
    <row r="42" spans="1:18" x14ac:dyDescent="0.25">
      <c r="A42" s="224">
        <v>10</v>
      </c>
      <c r="B42" s="245">
        <f t="shared" si="1"/>
        <v>384390.37499999994</v>
      </c>
      <c r="C42" s="245">
        <f t="shared" si="2"/>
        <v>433595.49999999994</v>
      </c>
      <c r="D42" s="245">
        <f t="shared" si="3"/>
        <v>4305</v>
      </c>
      <c r="E42" s="246">
        <f t="shared" si="4"/>
        <v>5381</v>
      </c>
      <c r="F42" s="246">
        <f t="shared" si="5"/>
        <v>6458</v>
      </c>
      <c r="H42" s="224">
        <v>10</v>
      </c>
      <c r="I42" s="245">
        <f t="shared" si="6"/>
        <v>384390.37499999994</v>
      </c>
      <c r="J42" s="245">
        <f t="shared" si="7"/>
        <v>433595.49999999994</v>
      </c>
      <c r="K42" s="245">
        <f t="shared" si="8"/>
        <v>19411.449999999997</v>
      </c>
      <c r="L42" s="245">
        <f t="shared" si="9"/>
        <v>30619.824999999997</v>
      </c>
      <c r="M42" s="241">
        <f t="shared" si="10"/>
        <v>868017.14999999979</v>
      </c>
      <c r="N42" s="247">
        <f t="shared" si="11"/>
        <v>265613</v>
      </c>
      <c r="O42" s="248">
        <f t="shared" si="12"/>
        <v>390608</v>
      </c>
      <c r="P42" s="248">
        <f t="shared" si="13"/>
        <v>197908</v>
      </c>
      <c r="Q42" s="248">
        <f t="shared" si="14"/>
        <v>208324</v>
      </c>
      <c r="R42" s="249">
        <f t="shared" si="15"/>
        <v>796840</v>
      </c>
    </row>
    <row r="43" spans="1:18" x14ac:dyDescent="0.25">
      <c r="A43" s="224">
        <v>11</v>
      </c>
      <c r="B43" s="245">
        <f t="shared" si="1"/>
        <v>355941.49999999994</v>
      </c>
      <c r="C43" s="245">
        <f t="shared" si="2"/>
        <v>327629.97499999998</v>
      </c>
      <c r="D43" s="245">
        <f t="shared" si="3"/>
        <v>3598</v>
      </c>
      <c r="E43" s="246">
        <f t="shared" si="4"/>
        <v>4498</v>
      </c>
      <c r="F43" s="246">
        <f t="shared" si="5"/>
        <v>5397</v>
      </c>
      <c r="H43" s="224">
        <v>11</v>
      </c>
      <c r="I43" s="245">
        <f t="shared" si="6"/>
        <v>355941.49999999994</v>
      </c>
      <c r="J43" s="245">
        <f t="shared" si="7"/>
        <v>327629.97499999998</v>
      </c>
      <c r="K43" s="245">
        <f t="shared" si="8"/>
        <v>19411.449999999997</v>
      </c>
      <c r="L43" s="245">
        <f t="shared" si="9"/>
        <v>30619.824999999997</v>
      </c>
      <c r="M43" s="241">
        <f t="shared" si="10"/>
        <v>733602.74999999977</v>
      </c>
      <c r="N43" s="247">
        <f t="shared" si="11"/>
        <v>224482</v>
      </c>
      <c r="O43" s="248">
        <f t="shared" si="12"/>
        <v>330121</v>
      </c>
      <c r="P43" s="248">
        <f t="shared" si="13"/>
        <v>167261</v>
      </c>
      <c r="Q43" s="248">
        <f t="shared" si="14"/>
        <v>176065</v>
      </c>
      <c r="R43" s="249">
        <f t="shared" si="15"/>
        <v>673447</v>
      </c>
    </row>
    <row r="44" spans="1:18" x14ac:dyDescent="0.25">
      <c r="A44" s="224">
        <v>12</v>
      </c>
      <c r="B44" s="245">
        <f t="shared" si="1"/>
        <v>329575.42499999999</v>
      </c>
      <c r="C44" s="245">
        <f t="shared" si="2"/>
        <v>241833.37499999997</v>
      </c>
      <c r="D44" s="245">
        <f t="shared" si="3"/>
        <v>3007</v>
      </c>
      <c r="E44" s="246">
        <f t="shared" si="4"/>
        <v>3759</v>
      </c>
      <c r="F44" s="246">
        <f t="shared" si="5"/>
        <v>4511</v>
      </c>
      <c r="H44" s="224">
        <v>12</v>
      </c>
      <c r="I44" s="245">
        <f t="shared" si="6"/>
        <v>329575.42499999999</v>
      </c>
      <c r="J44" s="245">
        <f t="shared" si="7"/>
        <v>241833.37499999997</v>
      </c>
      <c r="K44" s="245">
        <f t="shared" si="8"/>
        <v>72236.875</v>
      </c>
      <c r="L44" s="245">
        <f t="shared" si="9"/>
        <v>50587.85</v>
      </c>
      <c r="M44" s="241">
        <f t="shared" si="10"/>
        <v>694233.52499999991</v>
      </c>
      <c r="N44" s="247">
        <f t="shared" si="11"/>
        <v>212435</v>
      </c>
      <c r="O44" s="248">
        <f t="shared" si="12"/>
        <v>312405</v>
      </c>
      <c r="P44" s="248">
        <f t="shared" si="13"/>
        <v>158285</v>
      </c>
      <c r="Q44" s="248">
        <f t="shared" si="14"/>
        <v>166616</v>
      </c>
      <c r="R44" s="249">
        <f t="shared" si="15"/>
        <v>637306</v>
      </c>
    </row>
    <row r="45" spans="1:18" x14ac:dyDescent="0.25">
      <c r="A45" s="224">
        <v>13</v>
      </c>
      <c r="B45" s="245">
        <f t="shared" si="1"/>
        <v>305150.69999999995</v>
      </c>
      <c r="C45" s="245">
        <f t="shared" si="2"/>
        <v>179959.24999999997</v>
      </c>
      <c r="D45" s="245">
        <f t="shared" si="3"/>
        <v>2553</v>
      </c>
      <c r="E45" s="246">
        <f t="shared" si="4"/>
        <v>3191</v>
      </c>
      <c r="F45" s="246">
        <f t="shared" si="5"/>
        <v>3830</v>
      </c>
      <c r="H45" s="224">
        <v>13</v>
      </c>
      <c r="I45" s="245">
        <f t="shared" si="6"/>
        <v>305150.69999999995</v>
      </c>
      <c r="J45" s="245">
        <f t="shared" si="7"/>
        <v>179959.24999999997</v>
      </c>
      <c r="K45" s="245">
        <f t="shared" si="8"/>
        <v>70099.75</v>
      </c>
      <c r="L45" s="245">
        <f t="shared" si="9"/>
        <v>50587.85</v>
      </c>
      <c r="M45" s="241">
        <f t="shared" si="10"/>
        <v>605797.54999999993</v>
      </c>
      <c r="N45" s="247">
        <f t="shared" si="11"/>
        <v>185374</v>
      </c>
      <c r="O45" s="248">
        <f t="shared" si="12"/>
        <v>272609</v>
      </c>
      <c r="P45" s="248">
        <f t="shared" si="13"/>
        <v>138122</v>
      </c>
      <c r="Q45" s="248">
        <f t="shared" si="14"/>
        <v>145391</v>
      </c>
      <c r="R45" s="249">
        <f t="shared" si="15"/>
        <v>556122</v>
      </c>
    </row>
    <row r="46" spans="1:18" x14ac:dyDescent="0.25">
      <c r="A46" s="224">
        <v>14</v>
      </c>
      <c r="B46" s="245">
        <f t="shared" si="1"/>
        <v>282500.25</v>
      </c>
      <c r="C46" s="245">
        <f t="shared" si="2"/>
        <v>135937.54999999999</v>
      </c>
      <c r="D46" s="245">
        <f t="shared" si="3"/>
        <v>2202</v>
      </c>
      <c r="E46" s="246">
        <f t="shared" si="4"/>
        <v>2753</v>
      </c>
      <c r="F46" s="246">
        <f t="shared" si="5"/>
        <v>3303</v>
      </c>
      <c r="H46" s="224">
        <v>14</v>
      </c>
      <c r="I46" s="245">
        <f t="shared" si="6"/>
        <v>282500.25</v>
      </c>
      <c r="J46" s="245">
        <f t="shared" si="7"/>
        <v>135937.54999999999</v>
      </c>
      <c r="K46" s="245">
        <f t="shared" si="8"/>
        <v>69540.099999999991</v>
      </c>
      <c r="L46" s="245">
        <f t="shared" si="9"/>
        <v>50587.85</v>
      </c>
      <c r="M46" s="241">
        <f t="shared" si="10"/>
        <v>538565.75</v>
      </c>
      <c r="N46" s="247">
        <f t="shared" si="11"/>
        <v>164801</v>
      </c>
      <c r="O46" s="248">
        <f t="shared" si="12"/>
        <v>242355</v>
      </c>
      <c r="P46" s="248">
        <f t="shared" si="13"/>
        <v>122793</v>
      </c>
      <c r="Q46" s="248">
        <f t="shared" si="14"/>
        <v>129256</v>
      </c>
      <c r="R46" s="249">
        <f t="shared" si="15"/>
        <v>494404</v>
      </c>
    </row>
    <row r="47" spans="1:18" ht="13.5" customHeight="1" x14ac:dyDescent="0.25">
      <c r="A47" s="224">
        <v>15</v>
      </c>
      <c r="B47" s="245">
        <f t="shared" si="1"/>
        <v>261593.32499999998</v>
      </c>
      <c r="C47" s="245">
        <f t="shared" si="2"/>
        <v>109187.09999999999</v>
      </c>
      <c r="D47" s="245">
        <f t="shared" si="3"/>
        <v>1951</v>
      </c>
      <c r="E47" s="246">
        <f t="shared" si="4"/>
        <v>2439</v>
      </c>
      <c r="F47" s="246">
        <f t="shared" si="5"/>
        <v>2927</v>
      </c>
      <c r="H47" s="224">
        <v>15</v>
      </c>
      <c r="I47" s="245">
        <f t="shared" si="6"/>
        <v>261593.32499999998</v>
      </c>
      <c r="J47" s="245">
        <f t="shared" si="7"/>
        <v>109187.09999999999</v>
      </c>
      <c r="K47" s="245">
        <f t="shared" si="8"/>
        <v>59884.599999999991</v>
      </c>
      <c r="L47" s="245">
        <f t="shared" si="9"/>
        <v>50587.85</v>
      </c>
      <c r="M47" s="241">
        <f t="shared" si="10"/>
        <v>481252.87499999994</v>
      </c>
      <c r="N47" s="247">
        <f t="shared" si="11"/>
        <v>147263</v>
      </c>
      <c r="O47" s="248">
        <f t="shared" si="12"/>
        <v>216564</v>
      </c>
      <c r="P47" s="248">
        <f t="shared" si="13"/>
        <v>109726</v>
      </c>
      <c r="Q47" s="248">
        <f t="shared" si="14"/>
        <v>115501</v>
      </c>
      <c r="R47" s="249">
        <f t="shared" si="15"/>
        <v>441791</v>
      </c>
    </row>
    <row r="48" spans="1:18" x14ac:dyDescent="0.25">
      <c r="A48" s="224">
        <v>16</v>
      </c>
      <c r="B48" s="245">
        <f t="shared" si="1"/>
        <v>242169.57499999998</v>
      </c>
      <c r="C48" s="245">
        <f t="shared" si="2"/>
        <v>107234.47499999999</v>
      </c>
      <c r="D48" s="245">
        <f t="shared" si="3"/>
        <v>1839</v>
      </c>
      <c r="E48" s="246">
        <f t="shared" si="4"/>
        <v>2299</v>
      </c>
      <c r="F48" s="246">
        <f t="shared" si="5"/>
        <v>2759</v>
      </c>
      <c r="H48" s="224">
        <v>16</v>
      </c>
      <c r="I48" s="245">
        <f t="shared" si="6"/>
        <v>242169.57499999998</v>
      </c>
      <c r="J48" s="245">
        <f t="shared" si="7"/>
        <v>107234.47499999999</v>
      </c>
      <c r="K48" s="245">
        <f t="shared" si="8"/>
        <v>63092.849999999991</v>
      </c>
      <c r="L48" s="245">
        <f t="shared" si="9"/>
        <v>50587.85</v>
      </c>
      <c r="M48" s="241">
        <f t="shared" si="10"/>
        <v>463084.74999999994</v>
      </c>
      <c r="N48" s="247">
        <f t="shared" si="11"/>
        <v>141704</v>
      </c>
      <c r="O48" s="248">
        <f t="shared" si="12"/>
        <v>208388</v>
      </c>
      <c r="P48" s="248">
        <f t="shared" si="13"/>
        <v>105583</v>
      </c>
      <c r="Q48" s="248">
        <f t="shared" si="14"/>
        <v>111140</v>
      </c>
      <c r="R48" s="249">
        <f t="shared" si="15"/>
        <v>425111</v>
      </c>
    </row>
    <row r="49" spans="1:18" x14ac:dyDescent="0.25">
      <c r="A49" s="224">
        <v>17</v>
      </c>
      <c r="B49" s="245">
        <f t="shared" si="1"/>
        <v>224239.24999999997</v>
      </c>
      <c r="C49" s="245">
        <f t="shared" si="2"/>
        <v>82910.2</v>
      </c>
      <c r="D49" s="245">
        <f t="shared" si="3"/>
        <v>1617</v>
      </c>
      <c r="E49" s="246">
        <f t="shared" si="4"/>
        <v>2021</v>
      </c>
      <c r="F49" s="246">
        <f t="shared" si="5"/>
        <v>2426</v>
      </c>
      <c r="H49" s="224">
        <v>17</v>
      </c>
      <c r="I49" s="245">
        <f t="shared" si="6"/>
        <v>224239.24999999997</v>
      </c>
      <c r="J49" s="245">
        <f t="shared" si="7"/>
        <v>82910.2</v>
      </c>
      <c r="K49" s="245">
        <f t="shared" si="8"/>
        <v>58696.624999999993</v>
      </c>
      <c r="L49" s="245">
        <f t="shared" si="9"/>
        <v>50587.85</v>
      </c>
      <c r="M49" s="241">
        <f t="shared" si="10"/>
        <v>416433.92499999993</v>
      </c>
      <c r="N49" s="247">
        <f t="shared" si="11"/>
        <v>127429</v>
      </c>
      <c r="O49" s="248">
        <f t="shared" si="12"/>
        <v>187395</v>
      </c>
      <c r="P49" s="248">
        <f t="shared" si="13"/>
        <v>94947</v>
      </c>
      <c r="Q49" s="248">
        <f t="shared" si="14"/>
        <v>99944</v>
      </c>
      <c r="R49" s="249">
        <f t="shared" si="15"/>
        <v>382286</v>
      </c>
    </row>
    <row r="50" spans="1:18" x14ac:dyDescent="0.25">
      <c r="A50" s="224">
        <v>18</v>
      </c>
      <c r="B50" s="245">
        <f t="shared" si="1"/>
        <v>207634.24999999997</v>
      </c>
      <c r="C50" s="245">
        <f t="shared" si="2"/>
        <v>80293.375</v>
      </c>
      <c r="D50" s="245">
        <f t="shared" si="3"/>
        <v>1515</v>
      </c>
      <c r="E50" s="246">
        <f t="shared" si="4"/>
        <v>1894</v>
      </c>
      <c r="F50" s="246">
        <f t="shared" si="5"/>
        <v>2273</v>
      </c>
      <c r="H50" s="224">
        <v>18</v>
      </c>
      <c r="I50" s="245">
        <f t="shared" si="6"/>
        <v>207634.24999999997</v>
      </c>
      <c r="J50" s="245">
        <f t="shared" si="7"/>
        <v>80293.375</v>
      </c>
      <c r="K50" s="245">
        <f t="shared" si="8"/>
        <v>58696.624999999993</v>
      </c>
      <c r="L50" s="245">
        <f t="shared" si="9"/>
        <v>50587.85</v>
      </c>
      <c r="M50" s="241">
        <f t="shared" si="10"/>
        <v>397212.1</v>
      </c>
      <c r="N50" s="247">
        <f t="shared" si="11"/>
        <v>121547</v>
      </c>
      <c r="O50" s="248">
        <f t="shared" si="12"/>
        <v>178745</v>
      </c>
      <c r="P50" s="248">
        <f t="shared" si="13"/>
        <v>90564</v>
      </c>
      <c r="Q50" s="248">
        <f t="shared" si="14"/>
        <v>95331</v>
      </c>
      <c r="R50" s="249">
        <f t="shared" si="15"/>
        <v>364640</v>
      </c>
    </row>
    <row r="51" spans="1:18" x14ac:dyDescent="0.25">
      <c r="A51" s="224">
        <v>19</v>
      </c>
      <c r="B51" s="245">
        <f t="shared" si="1"/>
        <v>194055.05</v>
      </c>
      <c r="C51" s="245">
        <f t="shared" si="2"/>
        <v>87818.924999999988</v>
      </c>
      <c r="D51" s="245">
        <f t="shared" si="3"/>
        <v>1484</v>
      </c>
      <c r="E51" s="246">
        <f t="shared" si="4"/>
        <v>1855</v>
      </c>
      <c r="F51" s="246">
        <f t="shared" si="5"/>
        <v>2226</v>
      </c>
      <c r="H51" s="224">
        <v>19</v>
      </c>
      <c r="I51" s="245">
        <f t="shared" si="6"/>
        <v>194055.05</v>
      </c>
      <c r="J51" s="245">
        <f t="shared" si="7"/>
        <v>87818.924999999988</v>
      </c>
      <c r="K51" s="245">
        <f t="shared" si="8"/>
        <v>61180.2</v>
      </c>
      <c r="L51" s="245">
        <f t="shared" si="9"/>
        <v>50587.85</v>
      </c>
      <c r="M51" s="241">
        <f t="shared" si="10"/>
        <v>393642.02499999997</v>
      </c>
      <c r="N51" s="247">
        <f t="shared" si="11"/>
        <v>120454</v>
      </c>
      <c r="O51" s="248">
        <f t="shared" si="12"/>
        <v>177139</v>
      </c>
      <c r="P51" s="248">
        <f t="shared" si="13"/>
        <v>89750</v>
      </c>
      <c r="Q51" s="248">
        <f t="shared" si="14"/>
        <v>94474</v>
      </c>
      <c r="R51" s="249">
        <f t="shared" si="15"/>
        <v>361363</v>
      </c>
    </row>
    <row r="52" spans="1:18" x14ac:dyDescent="0.25">
      <c r="A52" s="224">
        <v>20</v>
      </c>
      <c r="B52" s="245">
        <f t="shared" si="1"/>
        <v>181368.62499999997</v>
      </c>
      <c r="C52" s="245">
        <f t="shared" si="2"/>
        <v>69176.224999999991</v>
      </c>
      <c r="D52" s="245">
        <f t="shared" si="3"/>
        <v>1319</v>
      </c>
      <c r="E52" s="246">
        <f t="shared" si="4"/>
        <v>1649</v>
      </c>
      <c r="F52" s="246">
        <f t="shared" si="5"/>
        <v>1979</v>
      </c>
      <c r="H52" s="224">
        <v>20</v>
      </c>
      <c r="I52" s="245">
        <f t="shared" si="6"/>
        <v>181368.62499999997</v>
      </c>
      <c r="J52" s="245">
        <f t="shared" si="7"/>
        <v>69176.224999999991</v>
      </c>
      <c r="K52" s="245">
        <f t="shared" si="8"/>
        <v>58777.599999999991</v>
      </c>
      <c r="L52" s="245">
        <f t="shared" si="9"/>
        <v>50587.85</v>
      </c>
      <c r="M52" s="241">
        <f t="shared" si="10"/>
        <v>359910.29999999993</v>
      </c>
      <c r="N52" s="247">
        <f t="shared" si="11"/>
        <v>110133</v>
      </c>
      <c r="O52" s="248">
        <f t="shared" si="12"/>
        <v>161960</v>
      </c>
      <c r="P52" s="248">
        <f t="shared" si="13"/>
        <v>82060</v>
      </c>
      <c r="Q52" s="248">
        <f t="shared" si="14"/>
        <v>86378</v>
      </c>
      <c r="R52" s="249">
        <f t="shared" si="15"/>
        <v>330398</v>
      </c>
    </row>
    <row r="54" spans="1:18" x14ac:dyDescent="0.25">
      <c r="E54" s="220">
        <f>+E48*36</f>
        <v>82764</v>
      </c>
    </row>
    <row r="55" spans="1:18" x14ac:dyDescent="0.25">
      <c r="E55" s="220">
        <f>32*F48</f>
        <v>88288</v>
      </c>
    </row>
    <row r="60" spans="1:18" x14ac:dyDescent="0.25">
      <c r="B60" s="336" t="s">
        <v>15</v>
      </c>
      <c r="C60" s="334" t="s">
        <v>2</v>
      </c>
      <c r="D60" s="334" t="s">
        <v>50</v>
      </c>
      <c r="E60" s="334" t="s">
        <v>39</v>
      </c>
      <c r="F60" s="334" t="s">
        <v>51</v>
      </c>
      <c r="G60" s="334" t="s">
        <v>4</v>
      </c>
      <c r="H60" s="334" t="s">
        <v>52</v>
      </c>
      <c r="I60" s="334" t="s">
        <v>53</v>
      </c>
      <c r="J60" s="334" t="s">
        <v>54</v>
      </c>
      <c r="K60" s="334" t="s">
        <v>40</v>
      </c>
      <c r="L60" s="332" t="s">
        <v>41</v>
      </c>
      <c r="M60" s="330" t="s">
        <v>42</v>
      </c>
      <c r="N60" s="332" t="s">
        <v>43</v>
      </c>
      <c r="O60" s="330" t="s">
        <v>44</v>
      </c>
      <c r="P60" s="332" t="s">
        <v>45</v>
      </c>
      <c r="Q60" s="330" t="s">
        <v>46</v>
      </c>
    </row>
    <row r="61" spans="1:18" x14ac:dyDescent="0.25">
      <c r="B61" s="336"/>
      <c r="C61" s="335"/>
      <c r="D61" s="335"/>
      <c r="E61" s="335"/>
      <c r="F61" s="335"/>
      <c r="G61" s="335"/>
      <c r="H61" s="335"/>
      <c r="I61" s="335"/>
      <c r="J61" s="335"/>
      <c r="K61" s="335"/>
      <c r="L61" s="333"/>
      <c r="M61" s="331"/>
      <c r="N61" s="333"/>
      <c r="O61" s="331"/>
      <c r="P61" s="333"/>
      <c r="Q61" s="331"/>
    </row>
    <row r="62" spans="1:18" x14ac:dyDescent="0.25">
      <c r="B62" s="227">
        <v>3</v>
      </c>
      <c r="C62" s="228">
        <f t="shared" ref="C62:C67" si="16">+C6</f>
        <v>625751.22499999998</v>
      </c>
      <c r="D62" s="228">
        <f t="shared" ref="D62:D67" si="17">+E6</f>
        <v>1839877.0499999998</v>
      </c>
      <c r="E62" s="228"/>
      <c r="F62" s="229">
        <f t="shared" ref="F62:J62" si="18">+F6</f>
        <v>175210.42499999999</v>
      </c>
      <c r="G62" s="229">
        <f t="shared" si="18"/>
        <v>215001.94999999998</v>
      </c>
      <c r="H62" s="229">
        <f t="shared" si="18"/>
        <v>19411.449999999997</v>
      </c>
      <c r="I62" s="229">
        <f t="shared" si="18"/>
        <v>97810.624999999985</v>
      </c>
      <c r="J62" s="229">
        <f t="shared" si="18"/>
        <v>26627.449999999997</v>
      </c>
      <c r="K62" s="229">
        <f>C62*0.02*L62</f>
        <v>37545.073499999999</v>
      </c>
      <c r="L62" s="230">
        <v>3</v>
      </c>
      <c r="M62" s="231">
        <f t="shared" ref="M62:M79" si="19">ROUND(SUM(C62:K62)/190,0)</f>
        <v>15985</v>
      </c>
      <c r="N62" s="232">
        <v>1</v>
      </c>
      <c r="O62" s="231">
        <f>+M62*N62</f>
        <v>15985</v>
      </c>
      <c r="P62" s="232">
        <v>2</v>
      </c>
      <c r="Q62" s="231">
        <f t="shared" ref="Q62:Q79" si="20">SUM(C62:K62)/30*P62</f>
        <v>202482.3499</v>
      </c>
    </row>
    <row r="63" spans="1:18" x14ac:dyDescent="0.25">
      <c r="B63" s="227">
        <v>4</v>
      </c>
      <c r="C63" s="228">
        <f t="shared" si="16"/>
        <v>590346.69999999995</v>
      </c>
      <c r="D63" s="228">
        <f t="shared" si="17"/>
        <v>1785081.575</v>
      </c>
      <c r="E63" s="228"/>
      <c r="F63" s="229">
        <f t="shared" ref="F63:J63" si="21">+F7</f>
        <v>165298.67499999999</v>
      </c>
      <c r="G63" s="229">
        <f t="shared" si="21"/>
        <v>220002.92499999999</v>
      </c>
      <c r="H63" s="229">
        <f t="shared" si="21"/>
        <v>19411.449999999997</v>
      </c>
      <c r="I63" s="229">
        <f t="shared" si="21"/>
        <v>100393.62499999999</v>
      </c>
      <c r="J63" s="229">
        <f t="shared" si="21"/>
        <v>26627.449999999997</v>
      </c>
      <c r="K63" s="229">
        <f t="shared" ref="K63:K67" si="22">C63*0.02*L63</f>
        <v>11806.933999999999</v>
      </c>
      <c r="L63" s="230">
        <v>1</v>
      </c>
      <c r="M63" s="231">
        <f t="shared" si="19"/>
        <v>15363</v>
      </c>
      <c r="N63" s="232">
        <v>1</v>
      </c>
      <c r="O63" s="231">
        <f t="shared" ref="O63:O79" si="23">+M63*N63</f>
        <v>15363</v>
      </c>
      <c r="P63" s="232">
        <v>2</v>
      </c>
      <c r="Q63" s="231">
        <f t="shared" si="20"/>
        <v>194597.95559999999</v>
      </c>
    </row>
    <row r="64" spans="1:18" x14ac:dyDescent="0.25">
      <c r="B64" s="227">
        <v>5</v>
      </c>
      <c r="C64" s="228">
        <f t="shared" si="16"/>
        <v>556952.19999999995</v>
      </c>
      <c r="D64" s="228">
        <f t="shared" si="17"/>
        <v>1534236.4</v>
      </c>
      <c r="E64" s="228"/>
      <c r="F64" s="229">
        <f t="shared" ref="F64:J64" si="24">+F8</f>
        <v>155946.57499999998</v>
      </c>
      <c r="G64" s="229">
        <f t="shared" si="24"/>
        <v>225024.4</v>
      </c>
      <c r="H64" s="229">
        <f t="shared" si="24"/>
        <v>19411.449999999997</v>
      </c>
      <c r="I64" s="229">
        <f t="shared" si="24"/>
        <v>103020.7</v>
      </c>
      <c r="J64" s="229">
        <f t="shared" si="24"/>
        <v>26627.449999999997</v>
      </c>
      <c r="K64" s="229">
        <f t="shared" si="22"/>
        <v>11139.044</v>
      </c>
      <c r="L64" s="230">
        <v>1</v>
      </c>
      <c r="M64" s="231">
        <f t="shared" si="19"/>
        <v>13855</v>
      </c>
      <c r="N64" s="232">
        <v>1</v>
      </c>
      <c r="O64" s="231">
        <f t="shared" si="23"/>
        <v>13855</v>
      </c>
      <c r="P64" s="232">
        <v>2</v>
      </c>
      <c r="Q64" s="231">
        <f t="shared" si="20"/>
        <v>175490.54793333338</v>
      </c>
    </row>
    <row r="65" spans="2:17" x14ac:dyDescent="0.25">
      <c r="B65" s="227">
        <v>6</v>
      </c>
      <c r="C65" s="228">
        <f t="shared" si="16"/>
        <v>525385.27499999991</v>
      </c>
      <c r="D65" s="228">
        <f t="shared" si="17"/>
        <v>1296547.0999999999</v>
      </c>
      <c r="E65" s="228"/>
      <c r="F65" s="229">
        <f t="shared" ref="F65:J65" si="25">+F9</f>
        <v>147106.97499999998</v>
      </c>
      <c r="G65" s="229">
        <f t="shared" si="25"/>
        <v>251524.74999999997</v>
      </c>
      <c r="H65" s="229">
        <f t="shared" si="25"/>
        <v>19411.449999999997</v>
      </c>
      <c r="I65" s="229">
        <f t="shared" si="25"/>
        <v>95850.824999999997</v>
      </c>
      <c r="J65" s="229">
        <f t="shared" si="25"/>
        <v>30619.824999999997</v>
      </c>
      <c r="K65" s="229">
        <f t="shared" si="22"/>
        <v>10507.705499999998</v>
      </c>
      <c r="L65" s="230">
        <v>1</v>
      </c>
      <c r="M65" s="231">
        <f t="shared" si="19"/>
        <v>12510</v>
      </c>
      <c r="N65" s="232">
        <v>1</v>
      </c>
      <c r="O65" s="231">
        <f t="shared" si="23"/>
        <v>12510</v>
      </c>
      <c r="P65" s="232">
        <v>2</v>
      </c>
      <c r="Q65" s="231">
        <f t="shared" si="20"/>
        <v>158463.59370000003</v>
      </c>
    </row>
    <row r="66" spans="2:17" x14ac:dyDescent="0.25">
      <c r="B66" s="227">
        <v>7</v>
      </c>
      <c r="C66" s="228">
        <f t="shared" si="16"/>
        <v>484275.6</v>
      </c>
      <c r="D66" s="228">
        <f t="shared" si="17"/>
        <v>972314.99999999988</v>
      </c>
      <c r="E66" s="228">
        <f t="shared" ref="E66:E67" si="26">+O10</f>
        <v>383512.97499999998</v>
      </c>
      <c r="F66" s="229">
        <f t="shared" ref="F66:J66" si="27">+F10</f>
        <v>135597.25</v>
      </c>
      <c r="G66" s="229">
        <f t="shared" si="27"/>
        <v>173444.34999999998</v>
      </c>
      <c r="H66" s="229">
        <f t="shared" si="27"/>
        <v>19411.449999999997</v>
      </c>
      <c r="I66" s="229">
        <f t="shared" si="27"/>
        <v>71485.549999999988</v>
      </c>
      <c r="J66" s="229">
        <f t="shared" si="27"/>
        <v>30619.824999999997</v>
      </c>
      <c r="K66" s="229">
        <f t="shared" si="22"/>
        <v>9685.5120000000006</v>
      </c>
      <c r="L66" s="230">
        <v>1</v>
      </c>
      <c r="M66" s="231">
        <f>ROUND(SUM(C66:K66)/190,0)</f>
        <v>12002</v>
      </c>
      <c r="N66" s="232">
        <v>3</v>
      </c>
      <c r="O66" s="231">
        <f>+M66*N66</f>
        <v>36006</v>
      </c>
      <c r="P66" s="232">
        <v>0</v>
      </c>
      <c r="Q66" s="231">
        <f>SUM(C66:K66)/30*P66</f>
        <v>0</v>
      </c>
    </row>
    <row r="67" spans="2:17" x14ac:dyDescent="0.25">
      <c r="B67" s="227">
        <v>8</v>
      </c>
      <c r="C67" s="228">
        <f t="shared" si="16"/>
        <v>448364.72499999998</v>
      </c>
      <c r="D67" s="228">
        <f t="shared" si="17"/>
        <v>746536.2</v>
      </c>
      <c r="E67" s="228">
        <f t="shared" si="26"/>
        <v>343967.44999999995</v>
      </c>
      <c r="F67" s="229">
        <f t="shared" ref="F67:J67" si="28">+F11</f>
        <v>125541.99999999999</v>
      </c>
      <c r="G67" s="229">
        <f t="shared" si="28"/>
        <v>132294.69999999998</v>
      </c>
      <c r="H67" s="229">
        <f t="shared" si="28"/>
        <v>19411.449999999997</v>
      </c>
      <c r="I67" s="229">
        <f t="shared" si="28"/>
        <v>54542.299999999996</v>
      </c>
      <c r="J67" s="229">
        <f t="shared" si="28"/>
        <v>30619.824999999997</v>
      </c>
      <c r="K67" s="229">
        <f t="shared" si="22"/>
        <v>0</v>
      </c>
      <c r="L67" s="230">
        <v>0</v>
      </c>
      <c r="M67" s="231">
        <f t="shared" si="19"/>
        <v>10007</v>
      </c>
      <c r="N67" s="232">
        <v>5</v>
      </c>
      <c r="O67" s="231">
        <f t="shared" si="23"/>
        <v>50035</v>
      </c>
      <c r="P67" s="232">
        <v>2</v>
      </c>
      <c r="Q67" s="231">
        <f t="shared" si="20"/>
        <v>126751.90999999997</v>
      </c>
    </row>
    <row r="68" spans="2:17" x14ac:dyDescent="0.25">
      <c r="B68" s="227">
        <v>9</v>
      </c>
      <c r="C68" s="228">
        <f t="shared" ref="C68:C79" si="29">+C12</f>
        <v>415111.67499999999</v>
      </c>
      <c r="D68" s="228">
        <f t="shared" ref="D68:D79" si="30">+E12</f>
        <v>573622.79999999993</v>
      </c>
      <c r="E68" s="228">
        <f>+O12</f>
        <v>311275.07499999995</v>
      </c>
      <c r="F68" s="229">
        <f t="shared" ref="F68:J68" si="31">+F12</f>
        <v>116230.9</v>
      </c>
      <c r="G68" s="229">
        <f t="shared" si="31"/>
        <v>100862.04999999999</v>
      </c>
      <c r="H68" s="229">
        <f t="shared" si="31"/>
        <v>19411.449999999997</v>
      </c>
      <c r="I68" s="229">
        <f t="shared" si="31"/>
        <v>41576.049999999996</v>
      </c>
      <c r="J68" s="229">
        <f t="shared" si="31"/>
        <v>30619.824999999997</v>
      </c>
      <c r="K68" s="229">
        <f t="shared" ref="K68:K70" si="32">C68*0.02*L68</f>
        <v>66417.868000000002</v>
      </c>
      <c r="L68" s="230">
        <v>8</v>
      </c>
      <c r="M68" s="231">
        <f t="shared" si="19"/>
        <v>8816</v>
      </c>
      <c r="N68" s="232">
        <v>1</v>
      </c>
      <c r="O68" s="231">
        <f>+M68*N68</f>
        <v>8816</v>
      </c>
      <c r="P68" s="232">
        <v>2</v>
      </c>
      <c r="Q68" s="231">
        <f t="shared" si="20"/>
        <v>111675.17953333331</v>
      </c>
    </row>
    <row r="69" spans="2:17" x14ac:dyDescent="0.25">
      <c r="B69" s="227">
        <v>10</v>
      </c>
      <c r="C69" s="228">
        <f t="shared" si="29"/>
        <v>384390.37499999994</v>
      </c>
      <c r="D69" s="228">
        <f t="shared" si="30"/>
        <v>433595.49999999994</v>
      </c>
      <c r="E69" s="228"/>
      <c r="F69" s="229">
        <f t="shared" ref="F69:J69" si="33">+F13</f>
        <v>107629.09999999999</v>
      </c>
      <c r="G69" s="229">
        <f t="shared" si="33"/>
        <v>75379.524999999994</v>
      </c>
      <c r="H69" s="229">
        <f t="shared" si="33"/>
        <v>19411.449999999997</v>
      </c>
      <c r="I69" s="229">
        <f t="shared" si="33"/>
        <v>31094.399999999998</v>
      </c>
      <c r="J69" s="229">
        <f t="shared" si="33"/>
        <v>30619.824999999997</v>
      </c>
      <c r="K69" s="229">
        <f t="shared" si="32"/>
        <v>0</v>
      </c>
      <c r="L69" s="230"/>
      <c r="M69" s="231">
        <f t="shared" si="19"/>
        <v>5695</v>
      </c>
      <c r="N69" s="232"/>
      <c r="O69" s="231">
        <f t="shared" si="23"/>
        <v>0</v>
      </c>
      <c r="P69" s="232">
        <v>2</v>
      </c>
      <c r="Q69" s="231">
        <f t="shared" si="20"/>
        <v>72141.344999999987</v>
      </c>
    </row>
    <row r="70" spans="2:17" x14ac:dyDescent="0.25">
      <c r="B70" s="227">
        <v>11</v>
      </c>
      <c r="C70" s="228">
        <f t="shared" si="29"/>
        <v>355941.49999999994</v>
      </c>
      <c r="D70" s="228">
        <f t="shared" si="30"/>
        <v>327629.97499999998</v>
      </c>
      <c r="E70" s="228"/>
      <c r="F70" s="229">
        <f t="shared" ref="F70:J70" si="34">+F14</f>
        <v>99663.824999999997</v>
      </c>
      <c r="G70" s="229">
        <f t="shared" si="34"/>
        <v>56184.35</v>
      </c>
      <c r="H70" s="229">
        <f t="shared" si="34"/>
        <v>19411.449999999997</v>
      </c>
      <c r="I70" s="229">
        <f t="shared" si="34"/>
        <v>23145.524999999998</v>
      </c>
      <c r="J70" s="229">
        <f t="shared" si="34"/>
        <v>30619.824999999997</v>
      </c>
      <c r="K70" s="229">
        <f t="shared" si="32"/>
        <v>7118.829999999999</v>
      </c>
      <c r="L70" s="230">
        <v>1</v>
      </c>
      <c r="M70" s="231">
        <f t="shared" si="19"/>
        <v>4841</v>
      </c>
      <c r="N70" s="232">
        <v>3</v>
      </c>
      <c r="O70" s="231">
        <f t="shared" si="23"/>
        <v>14523</v>
      </c>
      <c r="P70" s="232">
        <v>2</v>
      </c>
      <c r="Q70" s="231">
        <f t="shared" si="20"/>
        <v>61314.351999999977</v>
      </c>
    </row>
    <row r="71" spans="2:17" x14ac:dyDescent="0.25">
      <c r="B71" s="227">
        <v>12</v>
      </c>
      <c r="C71" s="228">
        <f>+C15</f>
        <v>329575.42499999999</v>
      </c>
      <c r="D71" s="228">
        <f>+E15</f>
        <v>241833.37499999997</v>
      </c>
      <c r="E71" s="228"/>
      <c r="F71" s="229">
        <f>+F15</f>
        <v>92281.774999999994</v>
      </c>
      <c r="G71" s="229">
        <f>+G15</f>
        <v>47516.95</v>
      </c>
      <c r="H71" s="229">
        <f>+H15</f>
        <v>72236.875</v>
      </c>
      <c r="I71" s="229">
        <f>+I15</f>
        <v>18487.924999999999</v>
      </c>
      <c r="J71" s="229">
        <f>+J15</f>
        <v>50587.85</v>
      </c>
      <c r="K71" s="229">
        <f t="shared" ref="K71:K74" si="35">C71*0.02*L71</f>
        <v>13183.017</v>
      </c>
      <c r="L71" s="230">
        <v>2</v>
      </c>
      <c r="M71" s="231">
        <f t="shared" si="19"/>
        <v>4556</v>
      </c>
      <c r="N71" s="232">
        <v>7</v>
      </c>
      <c r="O71" s="231">
        <f t="shared" si="23"/>
        <v>31892</v>
      </c>
      <c r="P71" s="232">
        <v>2</v>
      </c>
      <c r="Q71" s="231">
        <f t="shared" si="20"/>
        <v>57713.54613333333</v>
      </c>
    </row>
    <row r="72" spans="2:17" x14ac:dyDescent="0.25">
      <c r="B72" s="227">
        <v>13</v>
      </c>
      <c r="C72" s="228">
        <f t="shared" si="29"/>
        <v>305150.69999999995</v>
      </c>
      <c r="D72" s="228">
        <f t="shared" si="30"/>
        <v>179959.24999999997</v>
      </c>
      <c r="E72" s="228"/>
      <c r="F72" s="229">
        <f t="shared" ref="F72:J72" si="36">+F16</f>
        <v>85441.95</v>
      </c>
      <c r="G72" s="229">
        <f t="shared" si="36"/>
        <v>35079.599999999999</v>
      </c>
      <c r="H72" s="229">
        <f t="shared" si="36"/>
        <v>70099.75</v>
      </c>
      <c r="I72" s="229">
        <f t="shared" si="36"/>
        <v>13341.4</v>
      </c>
      <c r="J72" s="229">
        <f t="shared" si="36"/>
        <v>50587.85</v>
      </c>
      <c r="K72" s="229">
        <f t="shared" si="35"/>
        <v>42721.097999999998</v>
      </c>
      <c r="L72" s="230">
        <v>7</v>
      </c>
      <c r="M72" s="231">
        <f t="shared" si="19"/>
        <v>4118</v>
      </c>
      <c r="N72" s="232">
        <v>2</v>
      </c>
      <c r="O72" s="231">
        <f t="shared" si="23"/>
        <v>8236</v>
      </c>
      <c r="P72" s="232">
        <v>2</v>
      </c>
      <c r="Q72" s="231">
        <f t="shared" si="20"/>
        <v>52158.773199999989</v>
      </c>
    </row>
    <row r="73" spans="2:17" x14ac:dyDescent="0.25">
      <c r="B73" s="227">
        <v>14</v>
      </c>
      <c r="C73" s="228">
        <f t="shared" si="29"/>
        <v>282500.25</v>
      </c>
      <c r="D73" s="228">
        <f t="shared" si="30"/>
        <v>135937.54999999999</v>
      </c>
      <c r="E73" s="228"/>
      <c r="F73" s="229">
        <f t="shared" ref="F73:J73" si="37">+F17</f>
        <v>79100.274999999994</v>
      </c>
      <c r="G73" s="229">
        <f t="shared" si="37"/>
        <v>26450.124999999996</v>
      </c>
      <c r="H73" s="229">
        <f t="shared" si="37"/>
        <v>69540.099999999991</v>
      </c>
      <c r="I73" s="229">
        <f t="shared" si="37"/>
        <v>9862.5499999999993</v>
      </c>
      <c r="J73" s="229">
        <f t="shared" si="37"/>
        <v>50587.85</v>
      </c>
      <c r="K73" s="229">
        <f t="shared" si="35"/>
        <v>0</v>
      </c>
      <c r="L73" s="230"/>
      <c r="M73" s="231">
        <f t="shared" si="19"/>
        <v>3442</v>
      </c>
      <c r="N73" s="232"/>
      <c r="O73" s="231">
        <f t="shared" si="23"/>
        <v>0</v>
      </c>
      <c r="P73" s="232">
        <v>2</v>
      </c>
      <c r="Q73" s="231">
        <f t="shared" si="20"/>
        <v>43598.579999999994</v>
      </c>
    </row>
    <row r="74" spans="2:17" x14ac:dyDescent="0.25">
      <c r="B74" s="227">
        <v>15</v>
      </c>
      <c r="C74" s="228">
        <f t="shared" si="29"/>
        <v>261593.32499999998</v>
      </c>
      <c r="D74" s="228">
        <f t="shared" si="30"/>
        <v>109187.09999999999</v>
      </c>
      <c r="E74" s="228"/>
      <c r="F74" s="229">
        <f t="shared" ref="F74:J74" si="38">+F18</f>
        <v>73246.5</v>
      </c>
      <c r="G74" s="229">
        <f t="shared" si="38"/>
        <v>20513.324999999997</v>
      </c>
      <c r="H74" s="229">
        <f t="shared" si="38"/>
        <v>59884.599999999991</v>
      </c>
      <c r="I74" s="229">
        <f t="shared" si="38"/>
        <v>7717.2249999999995</v>
      </c>
      <c r="J74" s="229">
        <f t="shared" si="38"/>
        <v>50587.85</v>
      </c>
      <c r="K74" s="229">
        <f t="shared" si="35"/>
        <v>0</v>
      </c>
      <c r="L74" s="230"/>
      <c r="M74" s="231">
        <f t="shared" si="19"/>
        <v>3067</v>
      </c>
      <c r="N74" s="232"/>
      <c r="O74" s="231">
        <f t="shared" si="23"/>
        <v>0</v>
      </c>
      <c r="P74" s="232">
        <v>2</v>
      </c>
      <c r="Q74" s="231">
        <f t="shared" si="20"/>
        <v>38848.66166666666</v>
      </c>
    </row>
    <row r="75" spans="2:17" x14ac:dyDescent="0.25">
      <c r="B75" s="227">
        <v>16</v>
      </c>
      <c r="C75" s="228">
        <f t="shared" si="29"/>
        <v>242169.57499999998</v>
      </c>
      <c r="D75" s="228">
        <f t="shared" si="30"/>
        <v>107234.47499999999</v>
      </c>
      <c r="E75" s="228"/>
      <c r="F75" s="229">
        <f t="shared" ref="F75:J75" si="39">+F19</f>
        <v>67807.849999999991</v>
      </c>
      <c r="G75" s="229">
        <f t="shared" si="39"/>
        <v>19978.274999999998</v>
      </c>
      <c r="H75" s="229">
        <f t="shared" si="39"/>
        <v>63092.849999999991</v>
      </c>
      <c r="I75" s="229">
        <f t="shared" si="39"/>
        <v>7496.8499999999995</v>
      </c>
      <c r="J75" s="229">
        <f t="shared" si="39"/>
        <v>50587.85</v>
      </c>
      <c r="K75" s="229">
        <f t="shared" ref="K75:K79" si="40">C75*0.02*L75</f>
        <v>0</v>
      </c>
      <c r="L75" s="230">
        <v>0</v>
      </c>
      <c r="M75" s="231">
        <f t="shared" si="19"/>
        <v>2939</v>
      </c>
      <c r="N75" s="232">
        <v>2</v>
      </c>
      <c r="O75" s="231">
        <f t="shared" si="23"/>
        <v>5878</v>
      </c>
      <c r="P75" s="232">
        <v>1</v>
      </c>
      <c r="Q75" s="231">
        <f t="shared" si="20"/>
        <v>18612.2575</v>
      </c>
    </row>
    <row r="76" spans="2:17" x14ac:dyDescent="0.25">
      <c r="B76" s="227">
        <v>17</v>
      </c>
      <c r="C76" s="228">
        <f t="shared" si="29"/>
        <v>224239.24999999997</v>
      </c>
      <c r="D76" s="228">
        <f t="shared" si="30"/>
        <v>82910.2</v>
      </c>
      <c r="E76" s="228"/>
      <c r="F76" s="229">
        <f t="shared" ref="F76:J76" si="41">+F20</f>
        <v>62786.374999999993</v>
      </c>
      <c r="G76" s="229">
        <f t="shared" si="41"/>
        <v>14397.15</v>
      </c>
      <c r="H76" s="229">
        <f t="shared" si="41"/>
        <v>58696.624999999993</v>
      </c>
      <c r="I76" s="229">
        <f t="shared" si="41"/>
        <v>5376.1249999999991</v>
      </c>
      <c r="J76" s="229">
        <f t="shared" si="41"/>
        <v>50587.85</v>
      </c>
      <c r="K76" s="229">
        <f t="shared" si="40"/>
        <v>0</v>
      </c>
      <c r="L76" s="230"/>
      <c r="M76" s="231">
        <f t="shared" si="19"/>
        <v>2626</v>
      </c>
      <c r="N76" s="232"/>
      <c r="O76" s="231">
        <f t="shared" si="23"/>
        <v>0</v>
      </c>
      <c r="P76" s="232">
        <v>2</v>
      </c>
      <c r="Q76" s="231">
        <f t="shared" si="20"/>
        <v>33266.238333333327</v>
      </c>
    </row>
    <row r="77" spans="2:17" x14ac:dyDescent="0.25">
      <c r="B77" s="227">
        <v>18</v>
      </c>
      <c r="C77" s="228">
        <f t="shared" si="29"/>
        <v>207634.24999999997</v>
      </c>
      <c r="D77" s="228">
        <f t="shared" si="30"/>
        <v>80293.375</v>
      </c>
      <c r="E77" s="228"/>
      <c r="F77" s="229">
        <f t="shared" ref="F77:J77" si="42">+F21</f>
        <v>58137.999999999993</v>
      </c>
      <c r="G77" s="229">
        <f t="shared" si="42"/>
        <v>13165.099999999999</v>
      </c>
      <c r="H77" s="229">
        <f t="shared" si="42"/>
        <v>58696.624999999993</v>
      </c>
      <c r="I77" s="229">
        <f t="shared" si="42"/>
        <v>4859.5249999999996</v>
      </c>
      <c r="J77" s="229">
        <f t="shared" si="42"/>
        <v>50587.85</v>
      </c>
      <c r="K77" s="229">
        <f t="shared" si="40"/>
        <v>0</v>
      </c>
      <c r="L77" s="230"/>
      <c r="M77" s="231">
        <f t="shared" si="19"/>
        <v>2491</v>
      </c>
      <c r="N77" s="232"/>
      <c r="O77" s="231">
        <f t="shared" si="23"/>
        <v>0</v>
      </c>
      <c r="P77" s="232">
        <v>2</v>
      </c>
      <c r="Q77" s="231">
        <f t="shared" si="20"/>
        <v>31558.314999999999</v>
      </c>
    </row>
    <row r="78" spans="2:17" x14ac:dyDescent="0.25">
      <c r="B78" s="227">
        <v>19</v>
      </c>
      <c r="C78" s="228">
        <f t="shared" si="29"/>
        <v>194055.05</v>
      </c>
      <c r="D78" s="228">
        <f t="shared" si="30"/>
        <v>87818.924999999988</v>
      </c>
      <c r="E78" s="228"/>
      <c r="F78" s="229">
        <f t="shared" ref="F78:J78" si="43">+F22</f>
        <v>54336.274999999994</v>
      </c>
      <c r="G78" s="229">
        <f t="shared" si="43"/>
        <v>13347.55</v>
      </c>
      <c r="H78" s="229">
        <f t="shared" si="43"/>
        <v>61180.2</v>
      </c>
      <c r="I78" s="229">
        <f t="shared" si="43"/>
        <v>4937.4249999999993</v>
      </c>
      <c r="J78" s="229">
        <f t="shared" si="43"/>
        <v>50587.85</v>
      </c>
      <c r="K78" s="229">
        <f t="shared" si="40"/>
        <v>0</v>
      </c>
      <c r="L78" s="230"/>
      <c r="M78" s="231">
        <f t="shared" si="19"/>
        <v>2454</v>
      </c>
      <c r="N78" s="232"/>
      <c r="O78" s="231">
        <f t="shared" si="23"/>
        <v>0</v>
      </c>
      <c r="P78" s="232">
        <v>2</v>
      </c>
      <c r="Q78" s="231">
        <f t="shared" si="20"/>
        <v>31084.218333333331</v>
      </c>
    </row>
    <row r="79" spans="2:17" x14ac:dyDescent="0.25">
      <c r="B79" s="233">
        <v>20</v>
      </c>
      <c r="C79" s="228">
        <f t="shared" si="29"/>
        <v>181368.62499999997</v>
      </c>
      <c r="D79" s="228">
        <f t="shared" si="30"/>
        <v>69176.224999999991</v>
      </c>
      <c r="E79" s="228"/>
      <c r="F79" s="229">
        <f t="shared" ref="F79:J79" si="44">+F23</f>
        <v>50782.6</v>
      </c>
      <c r="G79" s="229">
        <f t="shared" si="44"/>
        <v>9009.75</v>
      </c>
      <c r="H79" s="229">
        <f t="shared" si="44"/>
        <v>58777.599999999991</v>
      </c>
      <c r="I79" s="229">
        <f t="shared" si="44"/>
        <v>3215.4249999999997</v>
      </c>
      <c r="J79" s="229">
        <f t="shared" si="44"/>
        <v>50587.85</v>
      </c>
      <c r="K79" s="229">
        <f t="shared" si="40"/>
        <v>0</v>
      </c>
      <c r="L79" s="230"/>
      <c r="M79" s="231">
        <f t="shared" si="19"/>
        <v>2226</v>
      </c>
      <c r="N79" s="232"/>
      <c r="O79" s="231">
        <f t="shared" si="23"/>
        <v>0</v>
      </c>
      <c r="P79" s="232">
        <v>2</v>
      </c>
      <c r="Q79" s="231">
        <f t="shared" si="20"/>
        <v>28194.538333333327</v>
      </c>
    </row>
  </sheetData>
  <mergeCells count="27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Q60:Q61"/>
    <mergeCell ref="L60:L61"/>
    <mergeCell ref="M60:M61"/>
    <mergeCell ref="N60:N61"/>
    <mergeCell ref="O60:O61"/>
    <mergeCell ref="P60:P61"/>
  </mergeCells>
  <printOptions horizontalCentered="1"/>
  <pageMargins left="0" right="0" top="0.55118110236220474" bottom="0.55118110236220474" header="0.31496062992125984" footer="0.31496062992125984"/>
  <pageSetup paperSize="3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T55"/>
  <sheetViews>
    <sheetView zoomScaleNormal="100" workbookViewId="0">
      <pane ySplit="3" topLeftCell="A4" activePane="bottomLeft" state="frozen"/>
      <selection pane="bottomLeft" activeCell="C12" sqref="C12"/>
    </sheetView>
  </sheetViews>
  <sheetFormatPr baseColWidth="10" defaultRowHeight="12.75" x14ac:dyDescent="0.25"/>
  <cols>
    <col min="1" max="1" width="7.28515625" style="221" bestFit="1" customWidth="1"/>
    <col min="2" max="2" width="10.85546875" style="220" bestFit="1" customWidth="1"/>
    <col min="3" max="3" width="13.28515625" style="220" bestFit="1" customWidth="1"/>
    <col min="4" max="4" width="13.28515625" style="220" customWidth="1"/>
    <col min="5" max="5" width="13.5703125" style="220" bestFit="1" customWidth="1"/>
    <col min="6" max="6" width="13.42578125" style="220" customWidth="1"/>
    <col min="7" max="7" width="14.5703125" style="220" bestFit="1" customWidth="1"/>
    <col min="8" max="8" width="13.42578125" style="220" customWidth="1"/>
    <col min="9" max="9" width="12.42578125" style="220" customWidth="1"/>
    <col min="10" max="10" width="12.5703125" style="220" bestFit="1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20" width="11.5703125" style="220" bestFit="1" customWidth="1"/>
    <col min="21" max="16384" width="11.42578125" style="220"/>
  </cols>
  <sheetData>
    <row r="1" spans="1:20" s="219" customFormat="1" ht="30.75" customHeight="1" x14ac:dyDescent="0.25">
      <c r="B1" s="255">
        <v>1.0349999999999999</v>
      </c>
      <c r="C1" s="346" t="s">
        <v>73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20" x14ac:dyDescent="0.25">
      <c r="A2" s="220"/>
      <c r="B2" s="221"/>
      <c r="O2" s="220"/>
      <c r="P2" s="222"/>
    </row>
    <row r="3" spans="1:20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52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53" t="s">
        <v>70</v>
      </c>
    </row>
    <row r="4" spans="1:20" x14ac:dyDescent="0.25">
      <c r="A4" s="220"/>
      <c r="B4" s="251">
        <v>1</v>
      </c>
      <c r="C4" s="248">
        <f>ROUND('EUS 2018'!C4*'EUS 2019 '!$B$1,0)</f>
        <v>649902</v>
      </c>
      <c r="D4" s="240">
        <f>ROUND('EUS 2018'!D4*'EUS 2019 '!$B$1,0)</f>
        <v>139729</v>
      </c>
      <c r="E4" s="248">
        <f>ROUND('EUS 2018'!E4*'EUS 2019 '!$B$1,0)</f>
        <v>2413822</v>
      </c>
      <c r="F4" s="240">
        <f>ROUND('EUS 2018'!F4*'EUS 2019 '!$B$1,0)</f>
        <v>181972</v>
      </c>
      <c r="G4" s="240">
        <f>ROUND('EUS 2018'!G4*'EUS 2019 '!$B$1,0)</f>
        <v>215746</v>
      </c>
      <c r="H4" s="248">
        <f>ROUND('EUS 2018'!H4*'EUS 2019 '!$B$1,0)</f>
        <v>20091</v>
      </c>
      <c r="I4" s="240">
        <f>ROUND('EUS 2018'!I4*'EUS 2019 '!$B$1,0)</f>
        <v>97736</v>
      </c>
      <c r="J4" s="248">
        <f>ROUND('EUS 2018'!J4*'EUS 2019 '!$B$1,0)</f>
        <v>0</v>
      </c>
      <c r="K4" s="240">
        <f>ROUND('EUS 2018'!K4*'EUS 2019 '!$B$1,0)</f>
        <v>649902</v>
      </c>
      <c r="L4" s="240">
        <f>ROUND('EUS 2018'!L4*'EUS 2019 '!$B$1,0)</f>
        <v>2413822</v>
      </c>
      <c r="M4" s="240">
        <f>ROUND('EUS 2018'!M4*'EUS 2019 '!$B$1,0)</f>
        <v>0</v>
      </c>
      <c r="N4" s="240">
        <f>ROUND('EUS 2018'!N4*'EUS 2019 '!$B$1,0)</f>
        <v>0</v>
      </c>
      <c r="O4" s="248">
        <f>ROUND('EUS 2018'!O4*'EUS 2019 '!$B$1,0)</f>
        <v>0</v>
      </c>
      <c r="P4" s="254">
        <f>SUM(C4:O4)</f>
        <v>6782722</v>
      </c>
      <c r="Q4" s="248">
        <f>ROUND('EUS 2018'!Q4*'EUS 2019 '!$B$1,0)</f>
        <v>0</v>
      </c>
      <c r="R4" s="222">
        <f>+P4-'EUS 2018'!P4</f>
        <v>229369.125</v>
      </c>
      <c r="S4" s="243">
        <f>+P4-'EUS 2017'!S4</f>
        <v>229369.12500000093</v>
      </c>
    </row>
    <row r="5" spans="1:20" x14ac:dyDescent="0.25">
      <c r="A5" s="220"/>
      <c r="B5" s="251">
        <v>2</v>
      </c>
      <c r="C5" s="248">
        <f>ROUND('EUS 2018'!C5*'EUS 2019 '!$B$1,0)</f>
        <v>613402</v>
      </c>
      <c r="D5" s="240">
        <f>ROUND('EUS 2018'!D5*'EUS 2019 '!$B$1,0)</f>
        <v>131882</v>
      </c>
      <c r="E5" s="248">
        <f>ROUND('EUS 2018'!E5*'EUS 2019 '!$B$1,0)</f>
        <v>2309326</v>
      </c>
      <c r="F5" s="240">
        <f>ROUND('EUS 2018'!F5*'EUS 2019 '!$B$1,0)</f>
        <v>171752</v>
      </c>
      <c r="G5" s="240">
        <f>ROUND('EUS 2018'!G5*'EUS 2019 '!$B$1,0)</f>
        <v>221708</v>
      </c>
      <c r="H5" s="248">
        <f>ROUND('EUS 2018'!H5*'EUS 2019 '!$B$1,0)</f>
        <v>20091</v>
      </c>
      <c r="I5" s="240">
        <f>ROUND('EUS 2018'!I5*'EUS 2019 '!$B$1,0)</f>
        <v>100829</v>
      </c>
      <c r="J5" s="248">
        <f>ROUND('EUS 2018'!J5*'EUS 2019 '!$B$1,0)</f>
        <v>0</v>
      </c>
      <c r="K5" s="240">
        <f>ROUND('EUS 2018'!K5*'EUS 2019 '!$B$1,0)</f>
        <v>0</v>
      </c>
      <c r="L5" s="240">
        <f>ROUND('EUS 2018'!L5*'EUS 2019 '!$B$1,0)</f>
        <v>0</v>
      </c>
      <c r="M5" s="240">
        <f>ROUND('EUS 2018'!M5*'EUS 2019 '!$B$1,0)</f>
        <v>0</v>
      </c>
      <c r="N5" s="240">
        <f>ROUND('EUS 2018'!N5*'EUS 2019 '!$B$1,0)</f>
        <v>0</v>
      </c>
      <c r="O5" s="248">
        <f>ROUND('EUS 2018'!O5*'EUS 2019 '!$B$1,0)</f>
        <v>0</v>
      </c>
      <c r="P5" s="254">
        <f t="shared" ref="P5:P23" si="0">SUM(C5:O5)</f>
        <v>3568990</v>
      </c>
      <c r="Q5" s="248">
        <f>ROUND('EUS 2018'!Q5*'EUS 2019 '!$B$1,0)</f>
        <v>0</v>
      </c>
      <c r="R5" s="222">
        <f>+P5-'EUS 2018'!P5</f>
        <v>120690.12500000047</v>
      </c>
      <c r="S5" s="243">
        <f>+P5-'EUS 2017'!S5</f>
        <v>120690.12500000047</v>
      </c>
    </row>
    <row r="6" spans="1:20" x14ac:dyDescent="0.25">
      <c r="A6" s="220"/>
      <c r="B6" s="251">
        <v>3</v>
      </c>
      <c r="C6" s="248">
        <f>ROUND('EUS 2018'!C6*'EUS 2019 '!$B$1,0)</f>
        <v>647653</v>
      </c>
      <c r="D6" s="240">
        <f>ROUND('EUS 2018'!D6*'EUS 2019 '!$B$1,0)</f>
        <v>139245</v>
      </c>
      <c r="E6" s="248">
        <f>ROUND('EUS 2018'!E6*'EUS 2019 '!$B$1,0)</f>
        <v>1904273</v>
      </c>
      <c r="F6" s="240">
        <f>ROUND('EUS 2018'!F6*'EUS 2019 '!$B$1,0)</f>
        <v>181343</v>
      </c>
      <c r="G6" s="240">
        <f>ROUND('EUS 2018'!G6*'EUS 2019 '!$B$1,0)</f>
        <v>222527</v>
      </c>
      <c r="H6" s="248">
        <f>ROUND('EUS 2018'!H6*'EUS 2019 '!$B$1,0)</f>
        <v>20091</v>
      </c>
      <c r="I6" s="240">
        <f>ROUND('EUS 2018'!I6*'EUS 2019 '!$B$1,0)</f>
        <v>101234</v>
      </c>
      <c r="J6" s="248">
        <f>ROUND('EUS 2018'!J6*'EUS 2019 '!$B$1,0)</f>
        <v>27559</v>
      </c>
      <c r="K6" s="240">
        <f>ROUND('EUS 2018'!K6*'EUS 2019 '!$B$1,0)</f>
        <v>0</v>
      </c>
      <c r="L6" s="240">
        <f>ROUND('EUS 2018'!L6*'EUS 2019 '!$B$1,0)</f>
        <v>0</v>
      </c>
      <c r="M6" s="240">
        <f>ROUND('EUS 2018'!M6*'EUS 2019 '!$B$1,0)</f>
        <v>765578</v>
      </c>
      <c r="N6" s="240">
        <f>ROUND('EUS 2018'!N6*'EUS 2019 '!$B$1,0)</f>
        <v>510385</v>
      </c>
      <c r="O6" s="248">
        <f>ROUND('EUS 2018'!O6*'EUS 2019 '!$B$1,0)</f>
        <v>518126</v>
      </c>
      <c r="P6" s="254">
        <f t="shared" si="0"/>
        <v>5038014</v>
      </c>
      <c r="Q6" s="248">
        <f>ROUND('EUS 2018'!Q6*'EUS 2019 '!$B$1,0)</f>
        <v>259063</v>
      </c>
      <c r="R6" s="222">
        <f>+P6-'EUS 2018'!P6</f>
        <v>170367.92499999981</v>
      </c>
      <c r="S6" s="243">
        <f>+P6-'EUS 2017'!S6</f>
        <v>170367.92500000075</v>
      </c>
    </row>
    <row r="7" spans="1:20" x14ac:dyDescent="0.25">
      <c r="A7" s="220"/>
      <c r="B7" s="251">
        <v>4</v>
      </c>
      <c r="C7" s="248">
        <f>ROUND('EUS 2018'!C7*'EUS 2019 '!$B$1,0)</f>
        <v>611009</v>
      </c>
      <c r="D7" s="240">
        <f>ROUND('EUS 2018'!D7*'EUS 2019 '!$B$1,0)</f>
        <v>131367</v>
      </c>
      <c r="E7" s="248">
        <f>ROUND('EUS 2018'!E7*'EUS 2019 '!$B$1,0)</f>
        <v>1847559</v>
      </c>
      <c r="F7" s="240">
        <f>ROUND('EUS 2018'!F7*'EUS 2019 '!$B$1,0)</f>
        <v>171084</v>
      </c>
      <c r="G7" s="240">
        <f>ROUND('EUS 2018'!G7*'EUS 2019 '!$B$1,0)</f>
        <v>227703</v>
      </c>
      <c r="H7" s="248">
        <f>ROUND('EUS 2018'!H7*'EUS 2019 '!$B$1,0)</f>
        <v>20091</v>
      </c>
      <c r="I7" s="240">
        <f>ROUND('EUS 2018'!I7*'EUS 2019 '!$B$1,0)</f>
        <v>103907</v>
      </c>
      <c r="J7" s="248">
        <f>ROUND('EUS 2018'!J7*'EUS 2019 '!$B$1,0)</f>
        <v>27559</v>
      </c>
      <c r="K7" s="240">
        <f>ROUND('EUS 2018'!K7*'EUS 2019 '!$B$1,0)</f>
        <v>0</v>
      </c>
      <c r="L7" s="240">
        <f>ROUND('EUS 2018'!L7*'EUS 2019 '!$B$1,0)</f>
        <v>0</v>
      </c>
      <c r="M7" s="240">
        <f>ROUND('EUS 2018'!M7*'EUS 2019 '!$B$1,0)</f>
        <v>0</v>
      </c>
      <c r="N7" s="240">
        <f>ROUND('EUS 2018'!N7*'EUS 2019 '!$B$1,0)</f>
        <v>0</v>
      </c>
      <c r="O7" s="248">
        <f>ROUND('EUS 2018'!O7*'EUS 2019 '!$B$1,0)</f>
        <v>488803</v>
      </c>
      <c r="P7" s="254">
        <f t="shared" si="0"/>
        <v>3629082</v>
      </c>
      <c r="Q7" s="248">
        <f>ROUND('EUS 2018'!Q7*'EUS 2019 '!$B$1,0)</f>
        <v>244402</v>
      </c>
      <c r="R7" s="222">
        <f>+P7-'EUS 2018'!P7</f>
        <v>122721</v>
      </c>
      <c r="S7" s="243">
        <f>+P7-'EUS 2017'!S7</f>
        <v>122721.00000000047</v>
      </c>
    </row>
    <row r="8" spans="1:20" x14ac:dyDescent="0.25">
      <c r="A8" s="220"/>
      <c r="B8" s="251">
        <v>5</v>
      </c>
      <c r="C8" s="248">
        <f>ROUND('EUS 2018'!C8*'EUS 2019 '!$B$1,0)</f>
        <v>576446</v>
      </c>
      <c r="D8" s="240">
        <f>ROUND('EUS 2018'!D8*'EUS 2019 '!$B$1,0)</f>
        <v>123935</v>
      </c>
      <c r="E8" s="248">
        <f>ROUND('EUS 2018'!E8*'EUS 2019 '!$B$1,0)</f>
        <v>1587935</v>
      </c>
      <c r="F8" s="240">
        <f>ROUND('EUS 2018'!F8*'EUS 2019 '!$B$1,0)</f>
        <v>161405</v>
      </c>
      <c r="G8" s="240">
        <f>ROUND('EUS 2018'!G8*'EUS 2019 '!$B$1,0)</f>
        <v>232900</v>
      </c>
      <c r="H8" s="248">
        <f>ROUND('EUS 2018'!H8*'EUS 2019 '!$B$1,0)</f>
        <v>20091</v>
      </c>
      <c r="I8" s="240">
        <f>ROUND('EUS 2018'!I8*'EUS 2019 '!$B$1,0)</f>
        <v>106626</v>
      </c>
      <c r="J8" s="248">
        <f>ROUND('EUS 2018'!J8*'EUS 2019 '!$B$1,0)</f>
        <v>27559</v>
      </c>
      <c r="K8" s="240">
        <f>ROUND('EUS 2018'!K8*'EUS 2019 '!$B$1,0)</f>
        <v>0</v>
      </c>
      <c r="L8" s="240">
        <f>ROUND('EUS 2018'!L8*'EUS 2019 '!$B$1,0)</f>
        <v>0</v>
      </c>
      <c r="M8" s="240">
        <f>ROUND('EUS 2018'!M8*'EUS 2019 '!$B$1,0)</f>
        <v>0</v>
      </c>
      <c r="N8" s="240">
        <f>ROUND('EUS 2018'!N8*'EUS 2019 '!$B$1,0)</f>
        <v>0</v>
      </c>
      <c r="O8" s="248">
        <f>ROUND('EUS 2018'!O8*'EUS 2019 '!$B$1,0)</f>
        <v>487220</v>
      </c>
      <c r="P8" s="254">
        <f t="shared" si="0"/>
        <v>3324117</v>
      </c>
      <c r="Q8" s="248">
        <f>ROUND('EUS 2018'!Q8*'EUS 2019 '!$B$1,0)</f>
        <v>243610</v>
      </c>
      <c r="R8" s="222">
        <f>+P8-'EUS 2018'!P8</f>
        <v>112410.69999999972</v>
      </c>
      <c r="S8" s="243">
        <f>+P8-'EUS 2017'!S8</f>
        <v>112410.70000000019</v>
      </c>
    </row>
    <row r="9" spans="1:20" x14ac:dyDescent="0.25">
      <c r="A9" s="220"/>
      <c r="B9" s="251">
        <v>6</v>
      </c>
      <c r="C9" s="248">
        <f>ROUND('EUS 2018'!C9*'EUS 2019 '!$B$1,0)</f>
        <v>543774</v>
      </c>
      <c r="D9" s="240">
        <f>ROUND('EUS 2018'!D9*'EUS 2019 '!$B$1,0)</f>
        <v>116912</v>
      </c>
      <c r="E9" s="248">
        <f>ROUND('EUS 2018'!E9*'EUS 2019 '!$B$1,0)</f>
        <v>1341926</v>
      </c>
      <c r="F9" s="240">
        <f>ROUND('EUS 2018'!F9*'EUS 2019 '!$B$1,0)</f>
        <v>152256</v>
      </c>
      <c r="G9" s="240">
        <f>ROUND('EUS 2018'!G9*'EUS 2019 '!$B$1,0)</f>
        <v>260328</v>
      </c>
      <c r="H9" s="248">
        <f>ROUND('EUS 2018'!H9*'EUS 2019 '!$B$1,0)</f>
        <v>20091</v>
      </c>
      <c r="I9" s="240">
        <f>ROUND('EUS 2018'!I9*'EUS 2019 '!$B$1,0)</f>
        <v>99206</v>
      </c>
      <c r="J9" s="248">
        <f>ROUND('EUS 2018'!J9*'EUS 2019 '!$B$1,0)</f>
        <v>31692</v>
      </c>
      <c r="K9" s="240">
        <f>ROUND('EUS 2018'!K9*'EUS 2019 '!$B$1,0)</f>
        <v>0</v>
      </c>
      <c r="L9" s="240">
        <f>ROUND('EUS 2018'!L9*'EUS 2019 '!$B$1,0)</f>
        <v>0</v>
      </c>
      <c r="M9" s="240">
        <f>ROUND('EUS 2018'!M9*'EUS 2019 '!$B$1,0)</f>
        <v>0</v>
      </c>
      <c r="N9" s="240">
        <f>ROUND('EUS 2018'!N9*'EUS 2019 '!$B$1,0)</f>
        <v>0</v>
      </c>
      <c r="O9" s="248">
        <f>ROUND('EUS 2018'!O9*'EUS 2019 '!$B$1,0)</f>
        <v>435014</v>
      </c>
      <c r="P9" s="254">
        <f t="shared" si="0"/>
        <v>3001199</v>
      </c>
      <c r="Q9" s="248">
        <f>ROUND('EUS 2018'!Q9*'EUS 2019 '!$B$1,0)</f>
        <v>217507</v>
      </c>
      <c r="R9" s="222">
        <f>+P9-'EUS 2018'!P9</f>
        <v>101491.42499999981</v>
      </c>
      <c r="S9" s="243">
        <f>+P9-'EUS 2017'!S9</f>
        <v>101491.42500000028</v>
      </c>
    </row>
    <row r="10" spans="1:20" x14ac:dyDescent="0.25">
      <c r="A10" s="220"/>
      <c r="B10" s="251">
        <v>7</v>
      </c>
      <c r="C10" s="248">
        <f>ROUND('EUS 2018'!C10*'EUS 2019 '!$B$1,0)</f>
        <v>501225</v>
      </c>
      <c r="D10" s="240">
        <f>ROUND('EUS 2018'!D10*'EUS 2019 '!$B$1,0)</f>
        <v>107764</v>
      </c>
      <c r="E10" s="248">
        <f>ROUND('EUS 2018'!E10*'EUS 2019 '!$B$1,0)</f>
        <v>1006346</v>
      </c>
      <c r="F10" s="240">
        <f>ROUND('EUS 2018'!F10*'EUS 2019 '!$B$1,0)</f>
        <v>140343</v>
      </c>
      <c r="G10" s="240">
        <f>ROUND('EUS 2018'!G10*'EUS 2019 '!$B$1,0)</f>
        <v>179515</v>
      </c>
      <c r="H10" s="248">
        <f>ROUND('EUS 2018'!H10*'EUS 2019 '!$B$1,0)</f>
        <v>20091</v>
      </c>
      <c r="I10" s="240">
        <f>ROUND('EUS 2018'!I10*'EUS 2019 '!$B$1,0)</f>
        <v>73988</v>
      </c>
      <c r="J10" s="248">
        <f>ROUND('EUS 2018'!J10*'EUS 2019 '!$B$1,0)</f>
        <v>31692</v>
      </c>
      <c r="K10" s="240">
        <f>ROUND('EUS 2018'!K10*'EUS 2019 '!$B$1,0)</f>
        <v>0</v>
      </c>
      <c r="L10" s="240">
        <f>ROUND('EUS 2018'!L10*'EUS 2019 '!$B$1,0)</f>
        <v>0</v>
      </c>
      <c r="M10" s="240">
        <f>ROUND('EUS 2018'!M10*'EUS 2019 '!$B$1,0)</f>
        <v>0</v>
      </c>
      <c r="N10" s="240">
        <f>ROUND('EUS 2018'!N10*'EUS 2019 '!$B$1,0)</f>
        <v>0</v>
      </c>
      <c r="O10" s="248">
        <f>ROUND('EUS 2018'!O10*'EUS 2019 '!$B$1,0)</f>
        <v>396936</v>
      </c>
      <c r="P10" s="254">
        <f t="shared" si="0"/>
        <v>2457900</v>
      </c>
      <c r="Q10" s="248">
        <f>ROUND('EUS 2018'!Q10*'EUS 2019 '!$B$1,0)</f>
        <v>198468</v>
      </c>
      <c r="R10" s="222">
        <f>+P10-'EUS 2018'!P10</f>
        <v>83118.500000000466</v>
      </c>
      <c r="S10" s="243">
        <f>+P10-'EUS 2017'!S10</f>
        <v>83118.5</v>
      </c>
    </row>
    <row r="11" spans="1:20" x14ac:dyDescent="0.25">
      <c r="A11" s="220"/>
      <c r="B11" s="251">
        <v>8</v>
      </c>
      <c r="C11" s="248">
        <f>ROUND('EUS 2018'!C11*'EUS 2019 '!$B$1,0)</f>
        <v>464057</v>
      </c>
      <c r="D11" s="240">
        <f>ROUND('EUS 2018'!D11*'EUS 2019 '!$B$1,0)</f>
        <v>99772</v>
      </c>
      <c r="E11" s="248">
        <f>ROUND('EUS 2018'!E11*'EUS 2019 '!$B$1,0)</f>
        <v>772665</v>
      </c>
      <c r="F11" s="240">
        <f>ROUND('EUS 2018'!F11*'EUS 2019 '!$B$1,0)</f>
        <v>129936</v>
      </c>
      <c r="G11" s="240">
        <f>ROUND('EUS 2018'!G11*'EUS 2019 '!$B$1,0)</f>
        <v>136925</v>
      </c>
      <c r="H11" s="248">
        <f>ROUND('EUS 2018'!H11*'EUS 2019 '!$B$1,0)</f>
        <v>20091</v>
      </c>
      <c r="I11" s="240">
        <f>ROUND('EUS 2018'!I11*'EUS 2019 '!$B$1,0)</f>
        <v>56451</v>
      </c>
      <c r="J11" s="248">
        <f>ROUND('EUS 2018'!J11*'EUS 2019 '!$B$1,0)</f>
        <v>31692</v>
      </c>
      <c r="K11" s="240">
        <f>ROUND('EUS 2018'!K11*'EUS 2019 '!$B$1,0)</f>
        <v>0</v>
      </c>
      <c r="L11" s="240">
        <f>ROUND('EUS 2018'!L11*'EUS 2019 '!$B$1,0)</f>
        <v>0</v>
      </c>
      <c r="M11" s="240">
        <f>ROUND('EUS 2018'!M11*'EUS 2019 '!$B$1,0)</f>
        <v>0</v>
      </c>
      <c r="N11" s="240">
        <f>ROUND('EUS 2018'!N11*'EUS 2019 '!$B$1,0)</f>
        <v>0</v>
      </c>
      <c r="O11" s="248">
        <f>ROUND('EUS 2018'!O11*'EUS 2019 '!$B$1,0)</f>
        <v>356006</v>
      </c>
      <c r="P11" s="254">
        <f t="shared" si="0"/>
        <v>2067595</v>
      </c>
      <c r="Q11" s="248">
        <f>ROUND('EUS 2018'!Q11*'EUS 2019 '!$B$1,0)</f>
        <v>178003</v>
      </c>
      <c r="R11" s="222">
        <f>+P11-'EUS 2018'!P11</f>
        <v>69918.175000000279</v>
      </c>
      <c r="S11" s="243">
        <f>+P11-'EUS 2017'!S11</f>
        <v>69918.175000000279</v>
      </c>
    </row>
    <row r="12" spans="1:20" x14ac:dyDescent="0.25">
      <c r="A12" s="220"/>
      <c r="B12" s="251">
        <v>9</v>
      </c>
      <c r="C12" s="248">
        <f>ROUND('EUS 2018'!C12*'EUS 2019 '!$B$1,0)</f>
        <v>429641</v>
      </c>
      <c r="D12" s="240">
        <f>ROUND('EUS 2018'!D12*'EUS 2019 '!$B$1,0)</f>
        <v>92373</v>
      </c>
      <c r="E12" s="248">
        <f>ROUND('EUS 2018'!E12*'EUS 2019 '!$B$1,0)</f>
        <v>593700</v>
      </c>
      <c r="F12" s="240">
        <f>ROUND('EUS 2018'!F12*'EUS 2019 '!$B$1,0)</f>
        <v>120299</v>
      </c>
      <c r="G12" s="240">
        <f>ROUND('EUS 2018'!G12*'EUS 2019 '!$B$1,0)</f>
        <v>104392</v>
      </c>
      <c r="H12" s="248">
        <f>ROUND('EUS 2018'!H12*'EUS 2019 '!$B$1,0)</f>
        <v>20091</v>
      </c>
      <c r="I12" s="240">
        <f>ROUND('EUS 2018'!I12*'EUS 2019 '!$B$1,0)</f>
        <v>43031</v>
      </c>
      <c r="J12" s="248">
        <f>ROUND('EUS 2018'!J12*'EUS 2019 '!$B$1,0)</f>
        <v>31692</v>
      </c>
      <c r="K12" s="240">
        <f>ROUND('EUS 2018'!K12*'EUS 2019 '!$B$1,0)</f>
        <v>0</v>
      </c>
      <c r="L12" s="240">
        <f>ROUND('EUS 2018'!L12*'EUS 2019 '!$B$1,0)</f>
        <v>0</v>
      </c>
      <c r="M12" s="240">
        <f>ROUND('EUS 2018'!M12*'EUS 2019 '!$B$1,0)</f>
        <v>0</v>
      </c>
      <c r="N12" s="240">
        <f>ROUND('EUS 2018'!N12*'EUS 2019 '!$B$1,0)</f>
        <v>0</v>
      </c>
      <c r="O12" s="248">
        <f>ROUND('EUS 2018'!O12*'EUS 2019 '!$B$1,0)</f>
        <v>322170</v>
      </c>
      <c r="P12" s="254">
        <f t="shared" si="0"/>
        <v>1757389</v>
      </c>
      <c r="Q12" s="248">
        <f>ROUND('EUS 2018'!Q12*'EUS 2019 '!$B$1,0)</f>
        <v>161085</v>
      </c>
      <c r="R12" s="222">
        <f>+P12-'EUS 2018'!P12</f>
        <v>59430.375000000233</v>
      </c>
      <c r="S12" s="243">
        <f>+P12-'EUS 2017'!S12</f>
        <v>59430.375000000233</v>
      </c>
    </row>
    <row r="13" spans="1:20" s="256" customFormat="1" x14ac:dyDescent="0.25">
      <c r="B13" s="257">
        <v>10</v>
      </c>
      <c r="C13" s="249">
        <f>ROUND('EUS 2018'!C13*'EUS 2019 '!$B$1,0)</f>
        <v>397844</v>
      </c>
      <c r="D13" s="249">
        <f>ROUND('EUS 2018'!D13*'EUS 2019 '!$B$1,0)</f>
        <v>85536</v>
      </c>
      <c r="E13" s="249">
        <f>ROUND('EUS 2018'!E13*'EUS 2019 '!$B$1,0)</f>
        <v>448771</v>
      </c>
      <c r="F13" s="249">
        <f>ROUND('EUS 2018'!F13*'EUS 2019 '!$B$1,0)</f>
        <v>111396</v>
      </c>
      <c r="G13" s="249">
        <f>ROUND('EUS 2018'!G13*'EUS 2019 '!$B$1,0)</f>
        <v>78018</v>
      </c>
      <c r="H13" s="249">
        <f>ROUND('EUS 2018'!H13*'EUS 2019 '!$B$1,0)</f>
        <v>20091</v>
      </c>
      <c r="I13" s="249">
        <f>ROUND('EUS 2018'!I13*'EUS 2019 '!$B$1,0)</f>
        <v>32183</v>
      </c>
      <c r="J13" s="249">
        <f>ROUND('EUS 2018'!J13*'EUS 2019 '!$B$1,0)</f>
        <v>31692</v>
      </c>
      <c r="K13" s="249">
        <f>ROUND('EUS 2018'!K13*'EUS 2019 '!$B$1,0)</f>
        <v>0</v>
      </c>
      <c r="L13" s="249">
        <f>ROUND('EUS 2018'!L13*'EUS 2019 '!$B$1,0)</f>
        <v>0</v>
      </c>
      <c r="M13" s="249">
        <f>ROUND('EUS 2018'!M13*'EUS 2019 '!$B$1,0)</f>
        <v>0</v>
      </c>
      <c r="N13" s="249">
        <f>ROUND('EUS 2018'!N13*'EUS 2019 '!$B$1,0)</f>
        <v>0</v>
      </c>
      <c r="O13" s="249">
        <f>ROUND('EUS 2018'!O13*'EUS 2019 '!$B$1,0)</f>
        <v>291553</v>
      </c>
      <c r="P13" s="249">
        <f t="shared" si="0"/>
        <v>1497084</v>
      </c>
      <c r="Q13" s="249">
        <f>ROUND('EUS 2018'!Q13*'EUS 2019 '!$B$1,0)</f>
        <v>145776</v>
      </c>
      <c r="R13" s="244">
        <f>+P13-'EUS 2018'!P13</f>
        <v>50626.550000000279</v>
      </c>
      <c r="S13" s="258">
        <f>+P13-'EUS 2017'!S13</f>
        <v>50626.550000000047</v>
      </c>
    </row>
    <row r="14" spans="1:20" x14ac:dyDescent="0.25">
      <c r="A14" s="220"/>
      <c r="B14" s="251">
        <v>11</v>
      </c>
      <c r="C14" s="248">
        <f>ROUND('EUS 2018'!C14*'EUS 2019 '!$B$1,0)</f>
        <v>368399</v>
      </c>
      <c r="D14" s="240">
        <f>ROUND('EUS 2018'!D14*'EUS 2019 '!$B$1,0)</f>
        <v>79205</v>
      </c>
      <c r="E14" s="248">
        <f>ROUND('EUS 2018'!E14*'EUS 2019 '!$B$1,0)</f>
        <v>339097</v>
      </c>
      <c r="F14" s="240">
        <f>ROUND('EUS 2018'!F14*'EUS 2019 '!$B$1,0)</f>
        <v>103152</v>
      </c>
      <c r="G14" s="240">
        <f>ROUND('EUS 2018'!G14*'EUS 2019 '!$B$1,0)</f>
        <v>58151</v>
      </c>
      <c r="H14" s="248">
        <f>ROUND('EUS 2018'!H14*'EUS 2019 '!$B$1,0)</f>
        <v>20091</v>
      </c>
      <c r="I14" s="240">
        <f>ROUND('EUS 2018'!I14*'EUS 2019 '!$B$1,0)</f>
        <v>23956</v>
      </c>
      <c r="J14" s="248">
        <f>ROUND('EUS 2018'!J14*'EUS 2019 '!$B$1,0)</f>
        <v>31692</v>
      </c>
      <c r="K14" s="240">
        <f>ROUND('EUS 2018'!K14*'EUS 2019 '!$B$1,0)</f>
        <v>0</v>
      </c>
      <c r="L14" s="240">
        <f>ROUND('EUS 2018'!L14*'EUS 2019 '!$B$1,0)</f>
        <v>0</v>
      </c>
      <c r="M14" s="240">
        <f>ROUND('EUS 2018'!M14*'EUS 2019 '!$B$1,0)</f>
        <v>0</v>
      </c>
      <c r="N14" s="240">
        <f>ROUND('EUS 2018'!N14*'EUS 2019 '!$B$1,0)</f>
        <v>0</v>
      </c>
      <c r="O14" s="248">
        <f>ROUND('EUS 2018'!O14*'EUS 2019 '!$B$1,0)</f>
        <v>263852</v>
      </c>
      <c r="P14" s="254">
        <f t="shared" si="0"/>
        <v>1287595</v>
      </c>
      <c r="Q14" s="248">
        <f>ROUND('EUS 2018'!Q14*'EUS 2019 '!$B$1,0)</f>
        <v>131926</v>
      </c>
      <c r="R14" s="222">
        <f>+P14-'EUS 2018'!P14</f>
        <v>43542.250000000233</v>
      </c>
      <c r="S14" s="243">
        <f>R14*20%</f>
        <v>8708.4500000000462</v>
      </c>
      <c r="T14" s="222">
        <f>R14-S14</f>
        <v>34833.800000000185</v>
      </c>
    </row>
    <row r="15" spans="1:20" x14ac:dyDescent="0.25">
      <c r="A15" s="220"/>
      <c r="B15" s="251">
        <v>12</v>
      </c>
      <c r="C15" s="248">
        <f>ROUND('EUS 2018'!C15*'EUS 2019 '!$B$1,0)</f>
        <v>341111</v>
      </c>
      <c r="D15" s="240">
        <f>ROUND('EUS 2018'!D15*'EUS 2019 '!$B$1,0)</f>
        <v>73339</v>
      </c>
      <c r="E15" s="248">
        <f>ROUND('EUS 2018'!E15*'EUS 2019 '!$B$1,0)</f>
        <v>250298</v>
      </c>
      <c r="F15" s="240">
        <f>ROUND('EUS 2018'!F15*'EUS 2019 '!$B$1,0)</f>
        <v>95512</v>
      </c>
      <c r="G15" s="240">
        <f>ROUND('EUS 2018'!G15*'EUS 2019 '!$B$1,0)</f>
        <v>49180</v>
      </c>
      <c r="H15" s="248">
        <f>ROUND('EUS 2018'!H15*'EUS 2019 '!$B$1,0)</f>
        <v>74765</v>
      </c>
      <c r="I15" s="240">
        <f>ROUND('EUS 2018'!I15*'EUS 2019 '!$B$1,0)</f>
        <v>19135</v>
      </c>
      <c r="J15" s="248">
        <f>ROUND('EUS 2018'!J15*'EUS 2019 '!$B$1,0)</f>
        <v>52358</v>
      </c>
      <c r="K15" s="240">
        <f>ROUND('EUS 2018'!K15*'EUS 2019 '!$B$1,0)</f>
        <v>0</v>
      </c>
      <c r="L15" s="240">
        <f>ROUND('EUS 2018'!L15*'EUS 2019 '!$B$1,0)</f>
        <v>0</v>
      </c>
      <c r="M15" s="240">
        <f>ROUND('EUS 2018'!M15*'EUS 2019 '!$B$1,0)</f>
        <v>0</v>
      </c>
      <c r="N15" s="240">
        <f>ROUND('EUS 2018'!N15*'EUS 2019 '!$B$1,0)</f>
        <v>0</v>
      </c>
      <c r="O15" s="248">
        <f>ROUND('EUS 2018'!O15*'EUS 2019 '!$B$1,0)</f>
        <v>238779</v>
      </c>
      <c r="P15" s="254">
        <f>SUM(C15:O15)</f>
        <v>1194477</v>
      </c>
      <c r="Q15" s="248">
        <f>ROUND('EUS 2018'!Q15*'EUS 2019 '!$B$1,0)</f>
        <v>119389</v>
      </c>
      <c r="R15" s="222">
        <f>+P15-'EUS 2018'!P15</f>
        <v>40393.625</v>
      </c>
      <c r="S15" s="243">
        <f>+P15-'EUS 2017'!S15</f>
        <v>40393.625</v>
      </c>
    </row>
    <row r="16" spans="1:20" x14ac:dyDescent="0.25">
      <c r="A16" s="220"/>
      <c r="B16" s="251">
        <v>13</v>
      </c>
      <c r="C16" s="248">
        <f>ROUND('EUS 2018'!C16*'EUS 2019 '!$B$1,0)</f>
        <v>315831</v>
      </c>
      <c r="D16" s="240">
        <f>ROUND('EUS 2018'!D16*'EUS 2019 '!$B$1,0)</f>
        <v>67904</v>
      </c>
      <c r="E16" s="248">
        <f>ROUND('EUS 2018'!E16*'EUS 2019 '!$B$1,0)</f>
        <v>186258</v>
      </c>
      <c r="F16" s="240">
        <f>ROUND('EUS 2018'!F16*'EUS 2019 '!$B$1,0)</f>
        <v>88432</v>
      </c>
      <c r="G16" s="240">
        <f>ROUND('EUS 2018'!G16*'EUS 2019 '!$B$1,0)</f>
        <v>36307</v>
      </c>
      <c r="H16" s="248">
        <f>ROUND('EUS 2018'!H16*'EUS 2019 '!$B$1,0)</f>
        <v>72553</v>
      </c>
      <c r="I16" s="240">
        <f>ROUND('EUS 2018'!I16*'EUS 2019 '!$B$1,0)</f>
        <v>13808</v>
      </c>
      <c r="J16" s="248">
        <f>ROUND('EUS 2018'!J16*'EUS 2019 '!$B$1,0)</f>
        <v>52358</v>
      </c>
      <c r="K16" s="240">
        <f>ROUND('EUS 2018'!K16*'EUS 2019 '!$B$1,0)</f>
        <v>0</v>
      </c>
      <c r="L16" s="240">
        <f>ROUND('EUS 2018'!L16*'EUS 2019 '!$B$1,0)</f>
        <v>0</v>
      </c>
      <c r="M16" s="240">
        <f>ROUND('EUS 2018'!M16*'EUS 2019 '!$B$1,0)</f>
        <v>0</v>
      </c>
      <c r="N16" s="240">
        <f>ROUND('EUS 2018'!N16*'EUS 2019 '!$B$1,0)</f>
        <v>0</v>
      </c>
      <c r="O16" s="248">
        <f>ROUND('EUS 2018'!O16*'EUS 2019 '!$B$1,0)</f>
        <v>0</v>
      </c>
      <c r="P16" s="254">
        <f t="shared" si="0"/>
        <v>833451</v>
      </c>
      <c r="Q16" s="248">
        <f>ROUND('EUS 2018'!Q16*'EUS 2019 '!$B$1,0)</f>
        <v>0</v>
      </c>
      <c r="R16" s="222">
        <f>+P16-'EUS 2018'!P16</f>
        <v>28182.300000000163</v>
      </c>
      <c r="S16" s="243">
        <f>+P16-'EUS 2017'!S16</f>
        <v>28182.300000000047</v>
      </c>
    </row>
    <row r="17" spans="1:19" x14ac:dyDescent="0.25">
      <c r="A17" s="220"/>
      <c r="B17" s="251">
        <v>14</v>
      </c>
      <c r="C17" s="248">
        <f>ROUND('EUS 2018'!C17*'EUS 2019 '!$B$1,0)</f>
        <v>292388</v>
      </c>
      <c r="D17" s="240">
        <f>ROUND('EUS 2018'!D17*'EUS 2019 '!$B$1,0)</f>
        <v>62862</v>
      </c>
      <c r="E17" s="248">
        <f>ROUND('EUS 2018'!E17*'EUS 2019 '!$B$1,0)</f>
        <v>140695</v>
      </c>
      <c r="F17" s="240">
        <f>ROUND('EUS 2018'!F17*'EUS 2019 '!$B$1,0)</f>
        <v>81869</v>
      </c>
      <c r="G17" s="240">
        <f>ROUND('EUS 2018'!G17*'EUS 2019 '!$B$1,0)</f>
        <v>27376</v>
      </c>
      <c r="H17" s="248">
        <f>ROUND('EUS 2018'!H17*'EUS 2019 '!$B$1,0)</f>
        <v>71974</v>
      </c>
      <c r="I17" s="240">
        <f>ROUND('EUS 2018'!I17*'EUS 2019 '!$B$1,0)</f>
        <v>10208</v>
      </c>
      <c r="J17" s="248">
        <f>ROUND('EUS 2018'!J17*'EUS 2019 '!$B$1,0)</f>
        <v>52358</v>
      </c>
      <c r="K17" s="240">
        <f>ROUND('EUS 2018'!K17*'EUS 2019 '!$B$1,0)</f>
        <v>0</v>
      </c>
      <c r="L17" s="240">
        <f>ROUND('EUS 2018'!L17*'EUS 2019 '!$B$1,0)</f>
        <v>0</v>
      </c>
      <c r="M17" s="240">
        <f>ROUND('EUS 2018'!M17*'EUS 2019 '!$B$1,0)</f>
        <v>0</v>
      </c>
      <c r="N17" s="240">
        <f>ROUND('EUS 2018'!N17*'EUS 2019 '!$B$1,0)</f>
        <v>0</v>
      </c>
      <c r="O17" s="248">
        <f>ROUND('EUS 2018'!O17*'EUS 2019 '!$B$1,0)</f>
        <v>0</v>
      </c>
      <c r="P17" s="254">
        <f t="shared" si="0"/>
        <v>739730</v>
      </c>
      <c r="Q17" s="248">
        <f>ROUND('EUS 2018'!Q17*'EUS 2019 '!$B$1,0)</f>
        <v>0</v>
      </c>
      <c r="R17" s="222">
        <f>+P17-'EUS 2018'!P17</f>
        <v>25014.925000000047</v>
      </c>
      <c r="S17" s="243">
        <f>+P17-'EUS 2017'!S17</f>
        <v>25014.925000000047</v>
      </c>
    </row>
    <row r="18" spans="1:19" x14ac:dyDescent="0.25">
      <c r="A18" s="220"/>
      <c r="B18" s="251">
        <v>15</v>
      </c>
      <c r="C18" s="248">
        <f>ROUND('EUS 2018'!C18*'EUS 2019 '!$B$1,0)</f>
        <v>270749</v>
      </c>
      <c r="D18" s="240">
        <f>ROUND('EUS 2018'!D18*'EUS 2019 '!$B$1,0)</f>
        <v>58210</v>
      </c>
      <c r="E18" s="248">
        <f>ROUND('EUS 2018'!E18*'EUS 2019 '!$B$1,0)</f>
        <v>113009</v>
      </c>
      <c r="F18" s="240">
        <f>ROUND('EUS 2018'!F18*'EUS 2019 '!$B$1,0)</f>
        <v>75810</v>
      </c>
      <c r="G18" s="240">
        <f>ROUND('EUS 2018'!G18*'EUS 2019 '!$B$1,0)</f>
        <v>21231</v>
      </c>
      <c r="H18" s="248">
        <f>ROUND('EUS 2018'!H18*'EUS 2019 '!$B$1,0)</f>
        <v>61981</v>
      </c>
      <c r="I18" s="240">
        <f>ROUND('EUS 2018'!I18*'EUS 2019 '!$B$1,0)</f>
        <v>7987</v>
      </c>
      <c r="J18" s="248">
        <f>ROUND('EUS 2018'!J18*'EUS 2019 '!$B$1,0)</f>
        <v>52358</v>
      </c>
      <c r="K18" s="240">
        <f>ROUND('EUS 2018'!K18*'EUS 2019 '!$B$1,0)</f>
        <v>0</v>
      </c>
      <c r="L18" s="240">
        <f>ROUND('EUS 2018'!L18*'EUS 2019 '!$B$1,0)</f>
        <v>0</v>
      </c>
      <c r="M18" s="240">
        <f>ROUND('EUS 2018'!M18*'EUS 2019 '!$B$1,0)</f>
        <v>0</v>
      </c>
      <c r="N18" s="240">
        <f>ROUND('EUS 2018'!N18*'EUS 2019 '!$B$1,0)</f>
        <v>0</v>
      </c>
      <c r="O18" s="248">
        <f>ROUND('EUS 2018'!O18*'EUS 2019 '!$B$1,0)</f>
        <v>0</v>
      </c>
      <c r="P18" s="254">
        <f t="shared" si="0"/>
        <v>661335</v>
      </c>
      <c r="Q18" s="248">
        <f>ROUND('EUS 2018'!Q18*'EUS 2019 '!$B$1,0)</f>
        <v>0</v>
      </c>
      <c r="R18" s="222">
        <f>+P18-'EUS 2018'!P18</f>
        <v>22363.32500000007</v>
      </c>
      <c r="S18" s="243">
        <f>+P18-'EUS 2017'!S18</f>
        <v>22363.32500000007</v>
      </c>
    </row>
    <row r="19" spans="1:19" x14ac:dyDescent="0.25">
      <c r="A19" s="220"/>
      <c r="B19" s="251">
        <v>16</v>
      </c>
      <c r="C19" s="248">
        <f>ROUND('EUS 2018'!C19*'EUS 2019 '!$B$1,0)</f>
        <v>250646</v>
      </c>
      <c r="D19" s="240">
        <f>ROUND('EUS 2018'!D19*'EUS 2019 '!$B$1,0)</f>
        <v>53889</v>
      </c>
      <c r="E19" s="248">
        <f>ROUND('EUS 2018'!E19*'EUS 2019 '!$B$1,0)</f>
        <v>110988</v>
      </c>
      <c r="F19" s="240">
        <f>ROUND('EUS 2018'!F19*'EUS 2019 '!$B$1,0)</f>
        <v>70181</v>
      </c>
      <c r="G19" s="240">
        <f>ROUND('EUS 2018'!G19*'EUS 2019 '!$B$1,0)</f>
        <v>20678</v>
      </c>
      <c r="H19" s="248">
        <f>ROUND('EUS 2018'!H19*'EUS 2019 '!$B$1,0)</f>
        <v>65301</v>
      </c>
      <c r="I19" s="240">
        <f>ROUND('EUS 2018'!I19*'EUS 2019 '!$B$1,0)</f>
        <v>7759</v>
      </c>
      <c r="J19" s="248">
        <f>ROUND('EUS 2018'!J19*'EUS 2019 '!$B$1,0)</f>
        <v>52358</v>
      </c>
      <c r="K19" s="240">
        <f>ROUND('EUS 2018'!K19*'EUS 2019 '!$B$1,0)</f>
        <v>0</v>
      </c>
      <c r="L19" s="240">
        <f>ROUND('EUS 2018'!L19*'EUS 2019 '!$B$1,0)</f>
        <v>0</v>
      </c>
      <c r="M19" s="240">
        <f>ROUND('EUS 2018'!M19*'EUS 2019 '!$B$1,0)</f>
        <v>0</v>
      </c>
      <c r="N19" s="240">
        <f>ROUND('EUS 2018'!N19*'EUS 2019 '!$B$1,0)</f>
        <v>0</v>
      </c>
      <c r="O19" s="248">
        <f>ROUND('EUS 2018'!O19*'EUS 2019 '!$B$1,0)</f>
        <v>0</v>
      </c>
      <c r="P19" s="254">
        <f t="shared" si="0"/>
        <v>631800</v>
      </c>
      <c r="Q19" s="248">
        <f>ROUND('EUS 2018'!Q19*'EUS 2019 '!$B$1,0)</f>
        <v>0</v>
      </c>
      <c r="R19" s="222">
        <f>+P19-'EUS 2018'!P19</f>
        <v>21365.350000000093</v>
      </c>
      <c r="S19" s="243">
        <f>+P19-'EUS 2017'!S19</f>
        <v>21365.350000000093</v>
      </c>
    </row>
    <row r="20" spans="1:19" x14ac:dyDescent="0.25">
      <c r="A20" s="220"/>
      <c r="B20" s="251">
        <v>17</v>
      </c>
      <c r="C20" s="248">
        <f>ROUND('EUS 2018'!C20*'EUS 2019 '!$B$1,0)</f>
        <v>232088</v>
      </c>
      <c r="D20" s="240">
        <f>ROUND('EUS 2018'!D20*'EUS 2019 '!$B$1,0)</f>
        <v>49898</v>
      </c>
      <c r="E20" s="248">
        <f>ROUND('EUS 2018'!E20*'EUS 2019 '!$B$1,0)</f>
        <v>85812</v>
      </c>
      <c r="F20" s="240">
        <f>ROUND('EUS 2018'!F20*'EUS 2019 '!$B$1,0)</f>
        <v>64984</v>
      </c>
      <c r="G20" s="240">
        <f>ROUND('EUS 2018'!G20*'EUS 2019 '!$B$1,0)</f>
        <v>14901</v>
      </c>
      <c r="H20" s="248">
        <f>ROUND('EUS 2018'!H20*'EUS 2019 '!$B$1,0)</f>
        <v>60751</v>
      </c>
      <c r="I20" s="240">
        <f>ROUND('EUS 2018'!I20*'EUS 2019 '!$B$1,0)</f>
        <v>5564</v>
      </c>
      <c r="J20" s="248">
        <f>ROUND('EUS 2018'!J20*'EUS 2019 '!$B$1,0)</f>
        <v>52358</v>
      </c>
      <c r="K20" s="240">
        <f>ROUND('EUS 2018'!K20*'EUS 2019 '!$B$1,0)</f>
        <v>0</v>
      </c>
      <c r="L20" s="240">
        <f>ROUND('EUS 2018'!L20*'EUS 2019 '!$B$1,0)</f>
        <v>0</v>
      </c>
      <c r="M20" s="240">
        <f>ROUND('EUS 2018'!M20*'EUS 2019 '!$B$1,0)</f>
        <v>0</v>
      </c>
      <c r="N20" s="240">
        <f>ROUND('EUS 2018'!N20*'EUS 2019 '!$B$1,0)</f>
        <v>0</v>
      </c>
      <c r="O20" s="248">
        <f>ROUND('EUS 2018'!O20*'EUS 2019 '!$B$1,0)</f>
        <v>0</v>
      </c>
      <c r="P20" s="254">
        <f t="shared" si="0"/>
        <v>566356</v>
      </c>
      <c r="Q20" s="248">
        <f>ROUND('EUS 2018'!Q20*'EUS 2019 '!$B$1,0)</f>
        <v>0</v>
      </c>
      <c r="R20" s="222">
        <f>+P20-'EUS 2018'!P20</f>
        <v>19151.550000000047</v>
      </c>
      <c r="S20" s="243">
        <f>+P20-'EUS 2017'!S20</f>
        <v>19151.550000000047</v>
      </c>
    </row>
    <row r="21" spans="1:19" x14ac:dyDescent="0.25">
      <c r="A21" s="220"/>
      <c r="B21" s="251">
        <v>18</v>
      </c>
      <c r="C21" s="248">
        <f>ROUND('EUS 2018'!C21*'EUS 2019 '!$B$1,0)</f>
        <v>214901</v>
      </c>
      <c r="D21" s="240">
        <f>ROUND('EUS 2018'!D21*'EUS 2019 '!$B$1,0)</f>
        <v>46203</v>
      </c>
      <c r="E21" s="248">
        <f>ROUND('EUS 2018'!E21*'EUS 2019 '!$B$1,0)</f>
        <v>83104</v>
      </c>
      <c r="F21" s="240">
        <f>ROUND('EUS 2018'!F21*'EUS 2019 '!$B$1,0)</f>
        <v>60173</v>
      </c>
      <c r="G21" s="240">
        <f>ROUND('EUS 2018'!G21*'EUS 2019 '!$B$1,0)</f>
        <v>13626</v>
      </c>
      <c r="H21" s="248">
        <f>ROUND('EUS 2018'!H21*'EUS 2019 '!$B$1,0)</f>
        <v>60751</v>
      </c>
      <c r="I21" s="240">
        <f>ROUND('EUS 2018'!I21*'EUS 2019 '!$B$1,0)</f>
        <v>5030</v>
      </c>
      <c r="J21" s="248">
        <f>ROUND('EUS 2018'!J21*'EUS 2019 '!$B$1,0)</f>
        <v>52358</v>
      </c>
      <c r="K21" s="240">
        <f>ROUND('EUS 2018'!K21*'EUS 2019 '!$B$1,0)</f>
        <v>0</v>
      </c>
      <c r="L21" s="240">
        <f>ROUND('EUS 2018'!L21*'EUS 2019 '!$B$1,0)</f>
        <v>0</v>
      </c>
      <c r="M21" s="240">
        <f>ROUND('EUS 2018'!M21*'EUS 2019 '!$B$1,0)</f>
        <v>0</v>
      </c>
      <c r="N21" s="240">
        <f>ROUND('EUS 2018'!N21*'EUS 2019 '!$B$1,0)</f>
        <v>0</v>
      </c>
      <c r="O21" s="248">
        <f>ROUND('EUS 2018'!O21*'EUS 2019 '!$B$1,0)</f>
        <v>0</v>
      </c>
      <c r="P21" s="254">
        <f t="shared" si="0"/>
        <v>536146</v>
      </c>
      <c r="Q21" s="248">
        <f>ROUND('EUS 2018'!Q21*'EUS 2019 '!$B$1,0)</f>
        <v>0</v>
      </c>
      <c r="R21" s="222">
        <f>+P21-'EUS 2018'!P21</f>
        <v>18130.475000000093</v>
      </c>
      <c r="S21" s="243">
        <f>+P21-'EUS 2017'!S21</f>
        <v>18130.475000000035</v>
      </c>
    </row>
    <row r="22" spans="1:19" x14ac:dyDescent="0.25">
      <c r="A22" s="220"/>
      <c r="B22" s="251">
        <v>19</v>
      </c>
      <c r="C22" s="248">
        <f>ROUND('EUS 2018'!C22*'EUS 2019 '!$B$1,0)</f>
        <v>200847</v>
      </c>
      <c r="D22" s="240">
        <f>ROUND('EUS 2018'!D22*'EUS 2019 '!$B$1,0)</f>
        <v>40169</v>
      </c>
      <c r="E22" s="248">
        <f>ROUND('EUS 2018'!E22*'EUS 2019 '!$B$1,0)</f>
        <v>90893</v>
      </c>
      <c r="F22" s="240">
        <f>ROUND('EUS 2018'!F22*'EUS 2019 '!$B$1,0)</f>
        <v>56238</v>
      </c>
      <c r="G22" s="240">
        <f>ROUND('EUS 2018'!G22*'EUS 2019 '!$B$1,0)</f>
        <v>13815</v>
      </c>
      <c r="H22" s="248">
        <f>ROUND('EUS 2018'!H22*'EUS 2019 '!$B$1,0)</f>
        <v>63322</v>
      </c>
      <c r="I22" s="240">
        <f>ROUND('EUS 2018'!I22*'EUS 2019 '!$B$1,0)</f>
        <v>5110</v>
      </c>
      <c r="J22" s="248">
        <f>ROUND('EUS 2018'!J22*'EUS 2019 '!$B$1,0)</f>
        <v>52358</v>
      </c>
      <c r="K22" s="240">
        <f>ROUND('EUS 2018'!K22*'EUS 2019 '!$B$1,0)</f>
        <v>0</v>
      </c>
      <c r="L22" s="240">
        <f>ROUND('EUS 2018'!L22*'EUS 2019 '!$B$1,0)</f>
        <v>0</v>
      </c>
      <c r="M22" s="240">
        <f>ROUND('EUS 2018'!M22*'EUS 2019 '!$B$1,0)</f>
        <v>0</v>
      </c>
      <c r="N22" s="240">
        <f>ROUND('EUS 2018'!N22*'EUS 2019 '!$B$1,0)</f>
        <v>0</v>
      </c>
      <c r="O22" s="248">
        <f>ROUND('EUS 2018'!O22*'EUS 2019 '!$B$1,0)</f>
        <v>0</v>
      </c>
      <c r="P22" s="254">
        <f t="shared" si="0"/>
        <v>522752</v>
      </c>
      <c r="Q22" s="248">
        <f>ROUND('EUS 2018'!Q22*'EUS 2019 '!$B$1,0)</f>
        <v>0</v>
      </c>
      <c r="R22" s="222">
        <f>+P22-'EUS 2018'!P22</f>
        <v>17678.125000000058</v>
      </c>
      <c r="S22" s="243">
        <f>+P22-'EUS 2017'!S22</f>
        <v>17678.125000000058</v>
      </c>
    </row>
    <row r="23" spans="1:19" x14ac:dyDescent="0.25">
      <c r="A23" s="220"/>
      <c r="B23" s="251">
        <v>20</v>
      </c>
      <c r="C23" s="248">
        <f>ROUND('EUS 2018'!C23*'EUS 2019 '!$B$1,0)</f>
        <v>187717</v>
      </c>
      <c r="D23" s="240">
        <f>ROUND('EUS 2018'!D23*'EUS 2019 '!$B$1,0)</f>
        <v>37543</v>
      </c>
      <c r="E23" s="248">
        <f>ROUND('EUS 2018'!E23*'EUS 2019 '!$B$1,0)</f>
        <v>71597</v>
      </c>
      <c r="F23" s="240">
        <f>ROUND('EUS 2018'!F23*'EUS 2019 '!$B$1,0)</f>
        <v>52560</v>
      </c>
      <c r="G23" s="240">
        <f>ROUND('EUS 2018'!G23*'EUS 2019 '!$B$1,0)</f>
        <v>9325</v>
      </c>
      <c r="H23" s="248">
        <f>ROUND('EUS 2018'!H23*'EUS 2019 '!$B$1,0)</f>
        <v>60835</v>
      </c>
      <c r="I23" s="240">
        <f>ROUND('EUS 2018'!I23*'EUS 2019 '!$B$1,0)</f>
        <v>3328</v>
      </c>
      <c r="J23" s="248">
        <f>ROUND('EUS 2018'!J23*'EUS 2019 '!$B$1,0)</f>
        <v>52358</v>
      </c>
      <c r="K23" s="240">
        <f>ROUND('EUS 2018'!K23*'EUS 2019 '!$B$1,0)</f>
        <v>0</v>
      </c>
      <c r="L23" s="240">
        <f>ROUND('EUS 2018'!L23*'EUS 2019 '!$B$1,0)</f>
        <v>0</v>
      </c>
      <c r="M23" s="240">
        <f>ROUND('EUS 2018'!M23*'EUS 2019 '!$B$1,0)</f>
        <v>0</v>
      </c>
      <c r="N23" s="240">
        <f>ROUND('EUS 2018'!N23*'EUS 2019 '!$B$1,0)</f>
        <v>0</v>
      </c>
      <c r="O23" s="248">
        <f>ROUND('EUS 2018'!O23*'EUS 2019 '!$B$1,0)</f>
        <v>0</v>
      </c>
      <c r="P23" s="254">
        <f t="shared" si="0"/>
        <v>475263</v>
      </c>
      <c r="Q23" s="248">
        <f>ROUND('EUS 2018'!Q23*'EUS 2019 '!$B$1,0)</f>
        <v>0</v>
      </c>
      <c r="R23" s="222">
        <f>+P23-'EUS 2018'!P23</f>
        <v>16071.200000000128</v>
      </c>
      <c r="S23" s="243">
        <f>+P23-'EUS 2017'!S23</f>
        <v>16071.200000000012</v>
      </c>
    </row>
    <row r="25" spans="1:19" x14ac:dyDescent="0.25">
      <c r="C25" s="222">
        <f>C19/30</f>
        <v>8354.8666666666668</v>
      </c>
      <c r="D25" s="220">
        <f>104619/30</f>
        <v>3487.3</v>
      </c>
      <c r="E25" s="220">
        <v>131367</v>
      </c>
      <c r="G25" s="220">
        <v>116912</v>
      </c>
      <c r="O25" s="222">
        <f>1656545-303683</f>
        <v>1352862</v>
      </c>
      <c r="P25" s="220">
        <v>1</v>
      </c>
    </row>
    <row r="26" spans="1:19" x14ac:dyDescent="0.25">
      <c r="C26" s="220">
        <f>4725/30</f>
        <v>157.5</v>
      </c>
      <c r="E26" s="220">
        <f>E25/30</f>
        <v>4378.8999999999996</v>
      </c>
      <c r="F26" s="220">
        <f>E26*9</f>
        <v>39410.1</v>
      </c>
      <c r="G26" s="220">
        <f>G25/30</f>
        <v>3897.0666666666666</v>
      </c>
      <c r="O26" s="222">
        <f>P13-O13</f>
        <v>1205531</v>
      </c>
      <c r="P26" s="222">
        <f>O25-O26</f>
        <v>147331</v>
      </c>
      <c r="Q26" s="220">
        <v>137412</v>
      </c>
    </row>
    <row r="27" spans="1:19" x14ac:dyDescent="0.25">
      <c r="C27" s="220">
        <f>D19/30</f>
        <v>1796.3</v>
      </c>
      <c r="G27" s="220">
        <f>G26*21</f>
        <v>81838.399999999994</v>
      </c>
      <c r="Q27" s="222">
        <f>P26-Q26</f>
        <v>9919</v>
      </c>
    </row>
    <row r="29" spans="1:19" x14ac:dyDescent="0.25">
      <c r="A29" s="341" t="s">
        <v>74</v>
      </c>
      <c r="B29" s="341"/>
      <c r="C29" s="341"/>
      <c r="D29" s="341"/>
      <c r="E29" s="341"/>
      <c r="F29" s="341"/>
      <c r="H29" s="341" t="s">
        <v>14</v>
      </c>
      <c r="I29" s="341"/>
      <c r="J29" s="341"/>
      <c r="K29" s="341"/>
      <c r="L29" s="341"/>
      <c r="M29" s="341"/>
      <c r="N29" s="341"/>
      <c r="O29" s="341"/>
      <c r="P29" s="341"/>
      <c r="Q29" s="341"/>
      <c r="R29" s="341"/>
    </row>
    <row r="31" spans="1:19" x14ac:dyDescent="0.25">
      <c r="A31" s="342" t="s">
        <v>15</v>
      </c>
      <c r="B31" s="342" t="s">
        <v>16</v>
      </c>
      <c r="C31" s="342" t="s">
        <v>67</v>
      </c>
      <c r="D31" s="343" t="s">
        <v>18</v>
      </c>
      <c r="E31" s="343"/>
      <c r="F31" s="343"/>
      <c r="G31" s="223"/>
      <c r="H31" s="342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69</v>
      </c>
      <c r="O31" s="338"/>
      <c r="P31" s="338"/>
      <c r="Q31" s="338"/>
      <c r="R31" s="339"/>
    </row>
    <row r="32" spans="1:19" x14ac:dyDescent="0.25">
      <c r="A32" s="342"/>
      <c r="B32" s="342"/>
      <c r="C32" s="342"/>
      <c r="D32" s="224" t="s">
        <v>23</v>
      </c>
      <c r="E32" s="224">
        <v>0.25</v>
      </c>
      <c r="F32" s="225">
        <v>0.5</v>
      </c>
      <c r="G32" s="223"/>
      <c r="H32" s="342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24">
        <v>0.30599999999999999</v>
      </c>
    </row>
    <row r="33" spans="1:18" x14ac:dyDescent="0.25">
      <c r="A33" s="224">
        <v>1</v>
      </c>
      <c r="B33" s="245">
        <f>VLOOKUP(A33,B3:C23,2,0)</f>
        <v>649902</v>
      </c>
      <c r="C33" s="245">
        <f>VLOOKUP(A33,B3:E23,4,0)</f>
        <v>2413822</v>
      </c>
      <c r="D33" s="245">
        <f>ROUND((B33+C33)/190,0)</f>
        <v>16125</v>
      </c>
      <c r="E33" s="246">
        <f>ROUND(D33*1.25,0)</f>
        <v>20156</v>
      </c>
      <c r="F33" s="246">
        <f>ROUND(D33*1.5,0)</f>
        <v>24188</v>
      </c>
      <c r="H33" s="224">
        <v>1</v>
      </c>
      <c r="I33" s="245">
        <f>VLOOKUP(H33,B4:C23,2,0)</f>
        <v>649902</v>
      </c>
      <c r="J33" s="245">
        <f>VLOOKUP(H33,B4:E23,4,0)</f>
        <v>2413822</v>
      </c>
      <c r="K33" s="245">
        <f>VLOOKUP(H33,B4:H23,7,0)</f>
        <v>20091</v>
      </c>
      <c r="L33" s="245">
        <f>VLOOKUP(H33,B4:J23,9,0)</f>
        <v>0</v>
      </c>
      <c r="M33" s="241">
        <f>SUM(I33:L33)</f>
        <v>3083815</v>
      </c>
      <c r="N33" s="247">
        <f>ROUND(M33*0.306,0)</f>
        <v>943647</v>
      </c>
      <c r="O33" s="248">
        <f>ROUND($M33*$O$32*3,0)</f>
        <v>1387717</v>
      </c>
      <c r="P33" s="248">
        <f>ROUND($M33*$P$32*3,0)</f>
        <v>703110</v>
      </c>
      <c r="Q33" s="248">
        <f>ROUND($M33*$Q$32*3,0)</f>
        <v>740116</v>
      </c>
      <c r="R33" s="249">
        <f>SUM(O33:Q33)</f>
        <v>2830943</v>
      </c>
    </row>
    <row r="34" spans="1:18" x14ac:dyDescent="0.25">
      <c r="A34" s="224">
        <v>2</v>
      </c>
      <c r="B34" s="245">
        <f t="shared" ref="B34:B52" si="1">VLOOKUP(A34,B4:C24,2,0)</f>
        <v>613402</v>
      </c>
      <c r="C34" s="245">
        <f t="shared" ref="C34:C52" si="2">VLOOKUP(A34,B4:E24,4,0)</f>
        <v>2309326</v>
      </c>
      <c r="D34" s="245">
        <f t="shared" ref="D34:D52" si="3">ROUND((B34+C34)/190,0)</f>
        <v>15383</v>
      </c>
      <c r="E34" s="246">
        <f t="shared" ref="E34:E52" si="4">ROUND(D34*1.25,0)</f>
        <v>19229</v>
      </c>
      <c r="F34" s="246">
        <f t="shared" ref="F34:F52" si="5">ROUND(D34*1.5,0)</f>
        <v>23075</v>
      </c>
      <c r="H34" s="224">
        <v>2</v>
      </c>
      <c r="I34" s="245">
        <f t="shared" ref="I34:I52" si="6">VLOOKUP(H34,B5:C24,2,0)</f>
        <v>613402</v>
      </c>
      <c r="J34" s="245">
        <f t="shared" ref="J34:J52" si="7">VLOOKUP(H34,B5:E24,4,0)</f>
        <v>2309326</v>
      </c>
      <c r="K34" s="245">
        <f t="shared" ref="K34:K52" si="8">VLOOKUP(H34,B5:H24,7,0)</f>
        <v>20091</v>
      </c>
      <c r="L34" s="245">
        <f t="shared" ref="L34:L52" si="9">VLOOKUP(H34,B5:J24,9,0)</f>
        <v>0</v>
      </c>
      <c r="M34" s="241">
        <f t="shared" ref="M34:M52" si="10">SUM(I34:L34)</f>
        <v>2942819</v>
      </c>
      <c r="N34" s="247">
        <f t="shared" ref="N34:N52" si="11">ROUND(M34*0.306,0)</f>
        <v>900503</v>
      </c>
      <c r="O34" s="248">
        <f t="shared" ref="O34:O52" si="12">ROUND($M34*$O$32*3,0)</f>
        <v>1324269</v>
      </c>
      <c r="P34" s="248">
        <f t="shared" ref="P34:P52" si="13">ROUND($M34*$P$32*3,0)</f>
        <v>670963</v>
      </c>
      <c r="Q34" s="248">
        <f t="shared" ref="Q34:Q52" si="14">ROUND($M34*$Q$32*3,0)</f>
        <v>706277</v>
      </c>
      <c r="R34" s="249">
        <f t="shared" ref="R34:R52" si="15">SUM(O34:Q34)</f>
        <v>2701509</v>
      </c>
    </row>
    <row r="35" spans="1:18" x14ac:dyDescent="0.25">
      <c r="A35" s="224">
        <v>3</v>
      </c>
      <c r="B35" s="245">
        <f t="shared" si="1"/>
        <v>647653</v>
      </c>
      <c r="C35" s="245">
        <f t="shared" si="2"/>
        <v>1904273</v>
      </c>
      <c r="D35" s="245">
        <f t="shared" si="3"/>
        <v>13431</v>
      </c>
      <c r="E35" s="246">
        <f t="shared" si="4"/>
        <v>16789</v>
      </c>
      <c r="F35" s="246">
        <f t="shared" si="5"/>
        <v>20147</v>
      </c>
      <c r="H35" s="224">
        <v>3</v>
      </c>
      <c r="I35" s="245">
        <f t="shared" si="6"/>
        <v>647653</v>
      </c>
      <c r="J35" s="245">
        <f t="shared" si="7"/>
        <v>1904273</v>
      </c>
      <c r="K35" s="245">
        <f t="shared" si="8"/>
        <v>20091</v>
      </c>
      <c r="L35" s="245">
        <f t="shared" si="9"/>
        <v>27559</v>
      </c>
      <c r="M35" s="241">
        <f t="shared" si="10"/>
        <v>2599576</v>
      </c>
      <c r="N35" s="247">
        <f t="shared" si="11"/>
        <v>795470</v>
      </c>
      <c r="O35" s="248">
        <f t="shared" si="12"/>
        <v>1169809</v>
      </c>
      <c r="P35" s="248">
        <f t="shared" si="13"/>
        <v>592703</v>
      </c>
      <c r="Q35" s="248">
        <f t="shared" si="14"/>
        <v>623898</v>
      </c>
      <c r="R35" s="249">
        <f t="shared" si="15"/>
        <v>2386410</v>
      </c>
    </row>
    <row r="36" spans="1:18" x14ac:dyDescent="0.25">
      <c r="A36" s="224">
        <v>4</v>
      </c>
      <c r="B36" s="245">
        <f t="shared" si="1"/>
        <v>611009</v>
      </c>
      <c r="C36" s="245">
        <f t="shared" si="2"/>
        <v>1847559</v>
      </c>
      <c r="D36" s="245">
        <f t="shared" si="3"/>
        <v>12940</v>
      </c>
      <c r="E36" s="246">
        <f t="shared" si="4"/>
        <v>16175</v>
      </c>
      <c r="F36" s="246">
        <f t="shared" si="5"/>
        <v>19410</v>
      </c>
      <c r="H36" s="224">
        <v>4</v>
      </c>
      <c r="I36" s="245">
        <f t="shared" si="6"/>
        <v>611009</v>
      </c>
      <c r="J36" s="245">
        <f t="shared" si="7"/>
        <v>1847559</v>
      </c>
      <c r="K36" s="245">
        <f t="shared" si="8"/>
        <v>20091</v>
      </c>
      <c r="L36" s="245">
        <f t="shared" si="9"/>
        <v>27559</v>
      </c>
      <c r="M36" s="241">
        <f t="shared" si="10"/>
        <v>2506218</v>
      </c>
      <c r="N36" s="247">
        <f t="shared" si="11"/>
        <v>766903</v>
      </c>
      <c r="O36" s="248">
        <f t="shared" si="12"/>
        <v>1127798</v>
      </c>
      <c r="P36" s="248">
        <f t="shared" si="13"/>
        <v>571418</v>
      </c>
      <c r="Q36" s="248">
        <f t="shared" si="14"/>
        <v>601492</v>
      </c>
      <c r="R36" s="249">
        <f t="shared" si="15"/>
        <v>2300708</v>
      </c>
    </row>
    <row r="37" spans="1:18" x14ac:dyDescent="0.25">
      <c r="A37" s="224">
        <v>5</v>
      </c>
      <c r="B37" s="245">
        <f t="shared" si="1"/>
        <v>576446</v>
      </c>
      <c r="C37" s="245">
        <f t="shared" si="2"/>
        <v>1587935</v>
      </c>
      <c r="D37" s="245">
        <f t="shared" si="3"/>
        <v>11391</v>
      </c>
      <c r="E37" s="246">
        <f t="shared" si="4"/>
        <v>14239</v>
      </c>
      <c r="F37" s="246">
        <f t="shared" si="5"/>
        <v>17087</v>
      </c>
      <c r="H37" s="224">
        <v>5</v>
      </c>
      <c r="I37" s="245">
        <f t="shared" si="6"/>
        <v>576446</v>
      </c>
      <c r="J37" s="245">
        <f t="shared" si="7"/>
        <v>1587935</v>
      </c>
      <c r="K37" s="245">
        <f t="shared" si="8"/>
        <v>20091</v>
      </c>
      <c r="L37" s="245">
        <f t="shared" si="9"/>
        <v>27559</v>
      </c>
      <c r="M37" s="241">
        <f t="shared" si="10"/>
        <v>2212031</v>
      </c>
      <c r="N37" s="247">
        <f t="shared" si="11"/>
        <v>676881</v>
      </c>
      <c r="O37" s="248">
        <f t="shared" si="12"/>
        <v>995414</v>
      </c>
      <c r="P37" s="248">
        <f t="shared" si="13"/>
        <v>504343</v>
      </c>
      <c r="Q37" s="248">
        <f t="shared" si="14"/>
        <v>530887</v>
      </c>
      <c r="R37" s="249">
        <f t="shared" si="15"/>
        <v>2030644</v>
      </c>
    </row>
    <row r="38" spans="1:18" x14ac:dyDescent="0.25">
      <c r="A38" s="224">
        <v>6</v>
      </c>
      <c r="B38" s="245">
        <f t="shared" si="1"/>
        <v>543774</v>
      </c>
      <c r="C38" s="245">
        <f t="shared" si="2"/>
        <v>1341926</v>
      </c>
      <c r="D38" s="245">
        <f t="shared" si="3"/>
        <v>9925</v>
      </c>
      <c r="E38" s="246">
        <f t="shared" si="4"/>
        <v>12406</v>
      </c>
      <c r="F38" s="246">
        <f t="shared" si="5"/>
        <v>14888</v>
      </c>
      <c r="H38" s="224">
        <v>6</v>
      </c>
      <c r="I38" s="245">
        <f t="shared" si="6"/>
        <v>543774</v>
      </c>
      <c r="J38" s="245">
        <f t="shared" si="7"/>
        <v>1341926</v>
      </c>
      <c r="K38" s="245">
        <f t="shared" si="8"/>
        <v>20091</v>
      </c>
      <c r="L38" s="245">
        <f t="shared" si="9"/>
        <v>31692</v>
      </c>
      <c r="M38" s="241">
        <f t="shared" si="10"/>
        <v>1937483</v>
      </c>
      <c r="N38" s="247">
        <f t="shared" si="11"/>
        <v>592870</v>
      </c>
      <c r="O38" s="248">
        <f t="shared" si="12"/>
        <v>871867</v>
      </c>
      <c r="P38" s="248">
        <f t="shared" si="13"/>
        <v>441746</v>
      </c>
      <c r="Q38" s="248">
        <f t="shared" si="14"/>
        <v>464996</v>
      </c>
      <c r="R38" s="249">
        <f t="shared" si="15"/>
        <v>1778609</v>
      </c>
    </row>
    <row r="39" spans="1:18" x14ac:dyDescent="0.25">
      <c r="A39" s="224">
        <v>7</v>
      </c>
      <c r="B39" s="245">
        <f t="shared" si="1"/>
        <v>501225</v>
      </c>
      <c r="C39" s="245">
        <f t="shared" si="2"/>
        <v>1006346</v>
      </c>
      <c r="D39" s="245">
        <f t="shared" si="3"/>
        <v>7935</v>
      </c>
      <c r="E39" s="246">
        <f t="shared" si="4"/>
        <v>9919</v>
      </c>
      <c r="F39" s="246">
        <f t="shared" si="5"/>
        <v>11903</v>
      </c>
      <c r="H39" s="224">
        <v>7</v>
      </c>
      <c r="I39" s="245">
        <f t="shared" si="6"/>
        <v>501225</v>
      </c>
      <c r="J39" s="245">
        <f t="shared" si="7"/>
        <v>1006346</v>
      </c>
      <c r="K39" s="245">
        <f t="shared" si="8"/>
        <v>20091</v>
      </c>
      <c r="L39" s="245">
        <f t="shared" si="9"/>
        <v>31692</v>
      </c>
      <c r="M39" s="241">
        <f t="shared" si="10"/>
        <v>1559354</v>
      </c>
      <c r="N39" s="247">
        <f t="shared" si="11"/>
        <v>477162</v>
      </c>
      <c r="O39" s="248">
        <f t="shared" si="12"/>
        <v>701709</v>
      </c>
      <c r="P39" s="248">
        <f t="shared" si="13"/>
        <v>355533</v>
      </c>
      <c r="Q39" s="248">
        <f t="shared" si="14"/>
        <v>374245</v>
      </c>
      <c r="R39" s="249">
        <f t="shared" si="15"/>
        <v>1431487</v>
      </c>
    </row>
    <row r="40" spans="1:18" x14ac:dyDescent="0.25">
      <c r="A40" s="224">
        <v>8</v>
      </c>
      <c r="B40" s="245">
        <f t="shared" si="1"/>
        <v>464057</v>
      </c>
      <c r="C40" s="245">
        <f t="shared" si="2"/>
        <v>772665</v>
      </c>
      <c r="D40" s="245">
        <f t="shared" si="3"/>
        <v>6509</v>
      </c>
      <c r="E40" s="246">
        <f t="shared" si="4"/>
        <v>8136</v>
      </c>
      <c r="F40" s="246">
        <f t="shared" si="5"/>
        <v>9764</v>
      </c>
      <c r="H40" s="224">
        <v>8</v>
      </c>
      <c r="I40" s="245">
        <f t="shared" si="6"/>
        <v>464057</v>
      </c>
      <c r="J40" s="245">
        <f t="shared" si="7"/>
        <v>772665</v>
      </c>
      <c r="K40" s="245">
        <f t="shared" si="8"/>
        <v>20091</v>
      </c>
      <c r="L40" s="245">
        <f t="shared" si="9"/>
        <v>31692</v>
      </c>
      <c r="M40" s="241">
        <f t="shared" si="10"/>
        <v>1288505</v>
      </c>
      <c r="N40" s="247">
        <f t="shared" si="11"/>
        <v>394283</v>
      </c>
      <c r="O40" s="248">
        <f t="shared" si="12"/>
        <v>579827</v>
      </c>
      <c r="P40" s="248">
        <f t="shared" si="13"/>
        <v>293779</v>
      </c>
      <c r="Q40" s="248">
        <f t="shared" si="14"/>
        <v>309241</v>
      </c>
      <c r="R40" s="249">
        <f t="shared" si="15"/>
        <v>1182847</v>
      </c>
    </row>
    <row r="41" spans="1:18" x14ac:dyDescent="0.25">
      <c r="A41" s="224">
        <v>9</v>
      </c>
      <c r="B41" s="245">
        <f t="shared" si="1"/>
        <v>429641</v>
      </c>
      <c r="C41" s="245">
        <f t="shared" si="2"/>
        <v>593700</v>
      </c>
      <c r="D41" s="245">
        <f t="shared" si="3"/>
        <v>5386</v>
      </c>
      <c r="E41" s="246">
        <f t="shared" si="4"/>
        <v>6733</v>
      </c>
      <c r="F41" s="246">
        <f t="shared" si="5"/>
        <v>8079</v>
      </c>
      <c r="H41" s="224">
        <v>9</v>
      </c>
      <c r="I41" s="245">
        <f t="shared" si="6"/>
        <v>429641</v>
      </c>
      <c r="J41" s="245">
        <f t="shared" si="7"/>
        <v>593700</v>
      </c>
      <c r="K41" s="245">
        <f t="shared" si="8"/>
        <v>20091</v>
      </c>
      <c r="L41" s="245">
        <f t="shared" si="9"/>
        <v>31692</v>
      </c>
      <c r="M41" s="241">
        <f t="shared" si="10"/>
        <v>1075124</v>
      </c>
      <c r="N41" s="247">
        <f t="shared" si="11"/>
        <v>328988</v>
      </c>
      <c r="O41" s="248">
        <f t="shared" si="12"/>
        <v>483806</v>
      </c>
      <c r="P41" s="248">
        <f t="shared" si="13"/>
        <v>245128</v>
      </c>
      <c r="Q41" s="248">
        <f t="shared" si="14"/>
        <v>258030</v>
      </c>
      <c r="R41" s="249">
        <f t="shared" si="15"/>
        <v>986964</v>
      </c>
    </row>
    <row r="42" spans="1:18" x14ac:dyDescent="0.25">
      <c r="A42" s="224">
        <v>10</v>
      </c>
      <c r="B42" s="245">
        <f t="shared" si="1"/>
        <v>397844</v>
      </c>
      <c r="C42" s="245">
        <f t="shared" si="2"/>
        <v>448771</v>
      </c>
      <c r="D42" s="245">
        <f t="shared" si="3"/>
        <v>4456</v>
      </c>
      <c r="E42" s="246">
        <f t="shared" si="4"/>
        <v>5570</v>
      </c>
      <c r="F42" s="246">
        <f t="shared" si="5"/>
        <v>6684</v>
      </c>
      <c r="H42" s="224">
        <v>10</v>
      </c>
      <c r="I42" s="245">
        <f t="shared" si="6"/>
        <v>397844</v>
      </c>
      <c r="J42" s="245">
        <f t="shared" si="7"/>
        <v>448771</v>
      </c>
      <c r="K42" s="245">
        <f t="shared" si="8"/>
        <v>20091</v>
      </c>
      <c r="L42" s="245">
        <f t="shared" si="9"/>
        <v>31692</v>
      </c>
      <c r="M42" s="241">
        <f t="shared" si="10"/>
        <v>898398</v>
      </c>
      <c r="N42" s="247">
        <f t="shared" si="11"/>
        <v>274910</v>
      </c>
      <c r="O42" s="248">
        <f t="shared" si="12"/>
        <v>404279</v>
      </c>
      <c r="P42" s="248">
        <f t="shared" si="13"/>
        <v>204835</v>
      </c>
      <c r="Q42" s="248">
        <f t="shared" si="14"/>
        <v>215616</v>
      </c>
      <c r="R42" s="249">
        <f t="shared" si="15"/>
        <v>824730</v>
      </c>
    </row>
    <row r="43" spans="1:18" x14ac:dyDescent="0.25">
      <c r="A43" s="224">
        <v>11</v>
      </c>
      <c r="B43" s="245">
        <f t="shared" si="1"/>
        <v>368399</v>
      </c>
      <c r="C43" s="245">
        <f t="shared" si="2"/>
        <v>339097</v>
      </c>
      <c r="D43" s="245">
        <f t="shared" si="3"/>
        <v>3724</v>
      </c>
      <c r="E43" s="246">
        <f t="shared" si="4"/>
        <v>4655</v>
      </c>
      <c r="F43" s="246">
        <f t="shared" si="5"/>
        <v>5586</v>
      </c>
      <c r="H43" s="224">
        <v>11</v>
      </c>
      <c r="I43" s="245">
        <f t="shared" si="6"/>
        <v>368399</v>
      </c>
      <c r="J43" s="245">
        <f t="shared" si="7"/>
        <v>339097</v>
      </c>
      <c r="K43" s="245">
        <f t="shared" si="8"/>
        <v>20091</v>
      </c>
      <c r="L43" s="245">
        <f t="shared" si="9"/>
        <v>31692</v>
      </c>
      <c r="M43" s="241">
        <f t="shared" si="10"/>
        <v>759279</v>
      </c>
      <c r="N43" s="247">
        <f t="shared" si="11"/>
        <v>232339</v>
      </c>
      <c r="O43" s="248">
        <f t="shared" si="12"/>
        <v>341676</v>
      </c>
      <c r="P43" s="248">
        <f t="shared" si="13"/>
        <v>173116</v>
      </c>
      <c r="Q43" s="248">
        <f t="shared" si="14"/>
        <v>182227</v>
      </c>
      <c r="R43" s="249">
        <f t="shared" si="15"/>
        <v>697019</v>
      </c>
    </row>
    <row r="44" spans="1:18" x14ac:dyDescent="0.25">
      <c r="A44" s="224">
        <v>12</v>
      </c>
      <c r="B44" s="245">
        <f t="shared" si="1"/>
        <v>341111</v>
      </c>
      <c r="C44" s="245">
        <f t="shared" si="2"/>
        <v>250298</v>
      </c>
      <c r="D44" s="245">
        <f t="shared" si="3"/>
        <v>3113</v>
      </c>
      <c r="E44" s="246">
        <f t="shared" si="4"/>
        <v>3891</v>
      </c>
      <c r="F44" s="246">
        <f t="shared" si="5"/>
        <v>4670</v>
      </c>
      <c r="H44" s="224">
        <v>12</v>
      </c>
      <c r="I44" s="245">
        <f t="shared" si="6"/>
        <v>341111</v>
      </c>
      <c r="J44" s="245">
        <f t="shared" si="7"/>
        <v>250298</v>
      </c>
      <c r="K44" s="245">
        <f t="shared" si="8"/>
        <v>74765</v>
      </c>
      <c r="L44" s="245">
        <f t="shared" si="9"/>
        <v>52358</v>
      </c>
      <c r="M44" s="241">
        <f t="shared" si="10"/>
        <v>718532</v>
      </c>
      <c r="N44" s="247">
        <f t="shared" si="11"/>
        <v>219871</v>
      </c>
      <c r="O44" s="248">
        <f t="shared" si="12"/>
        <v>323339</v>
      </c>
      <c r="P44" s="248">
        <f t="shared" si="13"/>
        <v>163825</v>
      </c>
      <c r="Q44" s="248">
        <f t="shared" si="14"/>
        <v>172448</v>
      </c>
      <c r="R44" s="249">
        <f t="shared" si="15"/>
        <v>659612</v>
      </c>
    </row>
    <row r="45" spans="1:18" x14ac:dyDescent="0.25">
      <c r="A45" s="224">
        <v>13</v>
      </c>
      <c r="B45" s="245">
        <f t="shared" si="1"/>
        <v>315831</v>
      </c>
      <c r="C45" s="245">
        <f t="shared" si="2"/>
        <v>186258</v>
      </c>
      <c r="D45" s="245">
        <f t="shared" si="3"/>
        <v>2643</v>
      </c>
      <c r="E45" s="246">
        <f t="shared" si="4"/>
        <v>3304</v>
      </c>
      <c r="F45" s="246">
        <f t="shared" si="5"/>
        <v>3965</v>
      </c>
      <c r="H45" s="224">
        <v>13</v>
      </c>
      <c r="I45" s="245">
        <f t="shared" si="6"/>
        <v>315831</v>
      </c>
      <c r="J45" s="245">
        <f t="shared" si="7"/>
        <v>186258</v>
      </c>
      <c r="K45" s="245">
        <f t="shared" si="8"/>
        <v>72553</v>
      </c>
      <c r="L45" s="245">
        <f t="shared" si="9"/>
        <v>52358</v>
      </c>
      <c r="M45" s="241">
        <f t="shared" si="10"/>
        <v>627000</v>
      </c>
      <c r="N45" s="247">
        <f t="shared" si="11"/>
        <v>191862</v>
      </c>
      <c r="O45" s="248">
        <f t="shared" si="12"/>
        <v>282150</v>
      </c>
      <c r="P45" s="248">
        <f t="shared" si="13"/>
        <v>142956</v>
      </c>
      <c r="Q45" s="248">
        <f t="shared" si="14"/>
        <v>150480</v>
      </c>
      <c r="R45" s="249">
        <f t="shared" si="15"/>
        <v>575586</v>
      </c>
    </row>
    <row r="46" spans="1:18" x14ac:dyDescent="0.25">
      <c r="A46" s="224">
        <v>14</v>
      </c>
      <c r="B46" s="245">
        <f t="shared" si="1"/>
        <v>292388</v>
      </c>
      <c r="C46" s="245">
        <f t="shared" si="2"/>
        <v>140695</v>
      </c>
      <c r="D46" s="245">
        <f t="shared" si="3"/>
        <v>2279</v>
      </c>
      <c r="E46" s="246">
        <f t="shared" si="4"/>
        <v>2849</v>
      </c>
      <c r="F46" s="246">
        <f t="shared" si="5"/>
        <v>3419</v>
      </c>
      <c r="H46" s="224">
        <v>14</v>
      </c>
      <c r="I46" s="245">
        <f t="shared" si="6"/>
        <v>292388</v>
      </c>
      <c r="J46" s="245">
        <f t="shared" si="7"/>
        <v>140695</v>
      </c>
      <c r="K46" s="245">
        <f t="shared" si="8"/>
        <v>71974</v>
      </c>
      <c r="L46" s="245">
        <f t="shared" si="9"/>
        <v>52358</v>
      </c>
      <c r="M46" s="241">
        <f t="shared" si="10"/>
        <v>557415</v>
      </c>
      <c r="N46" s="247">
        <f t="shared" si="11"/>
        <v>170569</v>
      </c>
      <c r="O46" s="248">
        <f t="shared" si="12"/>
        <v>250837</v>
      </c>
      <c r="P46" s="248">
        <f t="shared" si="13"/>
        <v>127091</v>
      </c>
      <c r="Q46" s="248">
        <f t="shared" si="14"/>
        <v>133780</v>
      </c>
      <c r="R46" s="249">
        <f t="shared" si="15"/>
        <v>511708</v>
      </c>
    </row>
    <row r="47" spans="1:18" ht="13.5" customHeight="1" x14ac:dyDescent="0.25">
      <c r="A47" s="224">
        <v>15</v>
      </c>
      <c r="B47" s="245">
        <f t="shared" si="1"/>
        <v>270749</v>
      </c>
      <c r="C47" s="245">
        <f t="shared" si="2"/>
        <v>113009</v>
      </c>
      <c r="D47" s="245">
        <f t="shared" si="3"/>
        <v>2020</v>
      </c>
      <c r="E47" s="246">
        <f t="shared" si="4"/>
        <v>2525</v>
      </c>
      <c r="F47" s="246">
        <f t="shared" si="5"/>
        <v>3030</v>
      </c>
      <c r="H47" s="224">
        <v>15</v>
      </c>
      <c r="I47" s="245">
        <f t="shared" si="6"/>
        <v>270749</v>
      </c>
      <c r="J47" s="245">
        <f t="shared" si="7"/>
        <v>113009</v>
      </c>
      <c r="K47" s="245">
        <f t="shared" si="8"/>
        <v>61981</v>
      </c>
      <c r="L47" s="245">
        <f t="shared" si="9"/>
        <v>52358</v>
      </c>
      <c r="M47" s="241">
        <f t="shared" si="10"/>
        <v>498097</v>
      </c>
      <c r="N47" s="247">
        <f t="shared" si="11"/>
        <v>152418</v>
      </c>
      <c r="O47" s="248">
        <f t="shared" si="12"/>
        <v>224144</v>
      </c>
      <c r="P47" s="248">
        <f t="shared" si="13"/>
        <v>113566</v>
      </c>
      <c r="Q47" s="248">
        <f t="shared" si="14"/>
        <v>119543</v>
      </c>
      <c r="R47" s="249">
        <f t="shared" si="15"/>
        <v>457253</v>
      </c>
    </row>
    <row r="48" spans="1:18" x14ac:dyDescent="0.25">
      <c r="A48" s="224">
        <v>16</v>
      </c>
      <c r="B48" s="245">
        <f t="shared" si="1"/>
        <v>250646</v>
      </c>
      <c r="C48" s="245">
        <f t="shared" si="2"/>
        <v>110988</v>
      </c>
      <c r="D48" s="245">
        <f t="shared" si="3"/>
        <v>1903</v>
      </c>
      <c r="E48" s="246">
        <f t="shared" si="4"/>
        <v>2379</v>
      </c>
      <c r="F48" s="246">
        <f t="shared" si="5"/>
        <v>2855</v>
      </c>
      <c r="H48" s="224">
        <v>16</v>
      </c>
      <c r="I48" s="245">
        <f t="shared" si="6"/>
        <v>250646</v>
      </c>
      <c r="J48" s="245">
        <f t="shared" si="7"/>
        <v>110988</v>
      </c>
      <c r="K48" s="245">
        <f t="shared" si="8"/>
        <v>65301</v>
      </c>
      <c r="L48" s="245">
        <f t="shared" si="9"/>
        <v>52358</v>
      </c>
      <c r="M48" s="241">
        <f t="shared" si="10"/>
        <v>479293</v>
      </c>
      <c r="N48" s="247">
        <f t="shared" si="11"/>
        <v>146664</v>
      </c>
      <c r="O48" s="248">
        <f t="shared" si="12"/>
        <v>215682</v>
      </c>
      <c r="P48" s="248">
        <f t="shared" si="13"/>
        <v>109279</v>
      </c>
      <c r="Q48" s="248">
        <f t="shared" si="14"/>
        <v>115030</v>
      </c>
      <c r="R48" s="249">
        <f t="shared" si="15"/>
        <v>439991</v>
      </c>
    </row>
    <row r="49" spans="1:18" x14ac:dyDescent="0.25">
      <c r="A49" s="224">
        <v>17</v>
      </c>
      <c r="B49" s="245">
        <f t="shared" si="1"/>
        <v>232088</v>
      </c>
      <c r="C49" s="245">
        <f t="shared" si="2"/>
        <v>85812</v>
      </c>
      <c r="D49" s="245">
        <f t="shared" si="3"/>
        <v>1673</v>
      </c>
      <c r="E49" s="246">
        <f t="shared" si="4"/>
        <v>2091</v>
      </c>
      <c r="F49" s="246">
        <f t="shared" si="5"/>
        <v>2510</v>
      </c>
      <c r="H49" s="224">
        <v>17</v>
      </c>
      <c r="I49" s="245">
        <f t="shared" si="6"/>
        <v>232088</v>
      </c>
      <c r="J49" s="245">
        <f t="shared" si="7"/>
        <v>85812</v>
      </c>
      <c r="K49" s="245">
        <f t="shared" si="8"/>
        <v>60751</v>
      </c>
      <c r="L49" s="245">
        <f t="shared" si="9"/>
        <v>52358</v>
      </c>
      <c r="M49" s="241">
        <f t="shared" si="10"/>
        <v>431009</v>
      </c>
      <c r="N49" s="247">
        <f t="shared" si="11"/>
        <v>131889</v>
      </c>
      <c r="O49" s="248">
        <f t="shared" si="12"/>
        <v>193954</v>
      </c>
      <c r="P49" s="248">
        <f t="shared" si="13"/>
        <v>98270</v>
      </c>
      <c r="Q49" s="248">
        <f t="shared" si="14"/>
        <v>103442</v>
      </c>
      <c r="R49" s="249">
        <f t="shared" si="15"/>
        <v>395666</v>
      </c>
    </row>
    <row r="50" spans="1:18" x14ac:dyDescent="0.25">
      <c r="A50" s="224">
        <v>18</v>
      </c>
      <c r="B50" s="245">
        <f t="shared" si="1"/>
        <v>214901</v>
      </c>
      <c r="C50" s="245">
        <f t="shared" si="2"/>
        <v>83104</v>
      </c>
      <c r="D50" s="245">
        <f t="shared" si="3"/>
        <v>1568</v>
      </c>
      <c r="E50" s="246">
        <f t="shared" si="4"/>
        <v>1960</v>
      </c>
      <c r="F50" s="246">
        <f t="shared" si="5"/>
        <v>2352</v>
      </c>
      <c r="H50" s="224">
        <v>18</v>
      </c>
      <c r="I50" s="245">
        <f t="shared" si="6"/>
        <v>214901</v>
      </c>
      <c r="J50" s="245">
        <f t="shared" si="7"/>
        <v>83104</v>
      </c>
      <c r="K50" s="245">
        <f t="shared" si="8"/>
        <v>60751</v>
      </c>
      <c r="L50" s="245">
        <f t="shared" si="9"/>
        <v>52358</v>
      </c>
      <c r="M50" s="241">
        <f t="shared" si="10"/>
        <v>411114</v>
      </c>
      <c r="N50" s="247">
        <f t="shared" si="11"/>
        <v>125801</v>
      </c>
      <c r="O50" s="248">
        <f t="shared" si="12"/>
        <v>185001</v>
      </c>
      <c r="P50" s="248">
        <f t="shared" si="13"/>
        <v>93734</v>
      </c>
      <c r="Q50" s="248">
        <f t="shared" si="14"/>
        <v>98667</v>
      </c>
      <c r="R50" s="249">
        <f t="shared" si="15"/>
        <v>377402</v>
      </c>
    </row>
    <row r="51" spans="1:18" x14ac:dyDescent="0.25">
      <c r="A51" s="224">
        <v>19</v>
      </c>
      <c r="B51" s="245">
        <f t="shared" si="1"/>
        <v>200847</v>
      </c>
      <c r="C51" s="245">
        <f t="shared" si="2"/>
        <v>90893</v>
      </c>
      <c r="D51" s="245">
        <f t="shared" si="3"/>
        <v>1535</v>
      </c>
      <c r="E51" s="246">
        <f t="shared" si="4"/>
        <v>1919</v>
      </c>
      <c r="F51" s="246">
        <f t="shared" si="5"/>
        <v>2303</v>
      </c>
      <c r="H51" s="224">
        <v>19</v>
      </c>
      <c r="I51" s="245">
        <f t="shared" si="6"/>
        <v>200847</v>
      </c>
      <c r="J51" s="245">
        <f t="shared" si="7"/>
        <v>90893</v>
      </c>
      <c r="K51" s="245">
        <f t="shared" si="8"/>
        <v>63322</v>
      </c>
      <c r="L51" s="245">
        <f t="shared" si="9"/>
        <v>52358</v>
      </c>
      <c r="M51" s="241">
        <f t="shared" si="10"/>
        <v>407420</v>
      </c>
      <c r="N51" s="247">
        <f t="shared" si="11"/>
        <v>124671</v>
      </c>
      <c r="O51" s="248">
        <f t="shared" si="12"/>
        <v>183339</v>
      </c>
      <c r="P51" s="248">
        <f t="shared" si="13"/>
        <v>92892</v>
      </c>
      <c r="Q51" s="248">
        <f t="shared" si="14"/>
        <v>97781</v>
      </c>
      <c r="R51" s="249">
        <f t="shared" si="15"/>
        <v>374012</v>
      </c>
    </row>
    <row r="52" spans="1:18" x14ac:dyDescent="0.25">
      <c r="A52" s="224">
        <v>20</v>
      </c>
      <c r="B52" s="245">
        <f t="shared" si="1"/>
        <v>187717</v>
      </c>
      <c r="C52" s="245">
        <f t="shared" si="2"/>
        <v>71597</v>
      </c>
      <c r="D52" s="245">
        <f t="shared" si="3"/>
        <v>1365</v>
      </c>
      <c r="E52" s="246">
        <f t="shared" si="4"/>
        <v>1706</v>
      </c>
      <c r="F52" s="246">
        <f t="shared" si="5"/>
        <v>2048</v>
      </c>
      <c r="H52" s="224">
        <v>20</v>
      </c>
      <c r="I52" s="245">
        <f t="shared" si="6"/>
        <v>187717</v>
      </c>
      <c r="J52" s="245">
        <f t="shared" si="7"/>
        <v>71597</v>
      </c>
      <c r="K52" s="245">
        <f t="shared" si="8"/>
        <v>60835</v>
      </c>
      <c r="L52" s="245">
        <f t="shared" si="9"/>
        <v>52358</v>
      </c>
      <c r="M52" s="241">
        <f t="shared" si="10"/>
        <v>372507</v>
      </c>
      <c r="N52" s="247">
        <f t="shared" si="11"/>
        <v>113987</v>
      </c>
      <c r="O52" s="248">
        <f t="shared" si="12"/>
        <v>167628</v>
      </c>
      <c r="P52" s="248">
        <f t="shared" si="13"/>
        <v>84932</v>
      </c>
      <c r="Q52" s="248">
        <f t="shared" si="14"/>
        <v>89402</v>
      </c>
      <c r="R52" s="249">
        <f t="shared" si="15"/>
        <v>341962</v>
      </c>
    </row>
    <row r="54" spans="1:18" x14ac:dyDescent="0.25">
      <c r="E54" s="220">
        <f>+E48*36</f>
        <v>85644</v>
      </c>
    </row>
    <row r="55" spans="1:18" x14ac:dyDescent="0.25">
      <c r="E55" s="220">
        <f>32*F48</f>
        <v>91360</v>
      </c>
    </row>
  </sheetData>
  <mergeCells count="11"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  <mergeCell ref="N31:R31"/>
  </mergeCells>
  <printOptions horizontalCentered="1"/>
  <pageMargins left="0" right="0" top="0.55118110236220474" bottom="0.55118110236220474" header="0.31496062992125984" footer="0.31496062992125984"/>
  <pageSetup paperSize="1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P52"/>
  <sheetViews>
    <sheetView topLeftCell="A4" workbookViewId="0">
      <selection activeCell="G14" sqref="G14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13.28515625" style="220" customWidth="1"/>
    <col min="5" max="5" width="13.5703125" style="220" bestFit="1" customWidth="1"/>
    <col min="6" max="6" width="13.42578125" style="220" customWidth="1"/>
    <col min="7" max="7" width="17" style="220" customWidth="1"/>
    <col min="8" max="8" width="13.42578125" style="220" customWidth="1"/>
    <col min="9" max="9" width="12.42578125" style="220" customWidth="1"/>
    <col min="10" max="10" width="12.5703125" style="220" bestFit="1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20" width="11.5703125" style="220" bestFit="1" customWidth="1"/>
    <col min="21" max="16384" width="11.42578125" style="220"/>
  </cols>
  <sheetData>
    <row r="1" spans="1:94" s="219" customFormat="1" ht="30.75" customHeight="1" x14ac:dyDescent="0.25">
      <c r="A1" s="259">
        <v>1.014</v>
      </c>
      <c r="B1" s="255">
        <v>1.028</v>
      </c>
      <c r="C1" s="346" t="s">
        <v>75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94" x14ac:dyDescent="0.25">
      <c r="A2" s="220"/>
      <c r="B2" s="221"/>
      <c r="O2" s="220"/>
      <c r="P2" s="222"/>
    </row>
    <row r="3" spans="1:94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78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53" t="s">
        <v>70</v>
      </c>
    </row>
    <row r="4" spans="1:94" x14ac:dyDescent="0.25">
      <c r="A4" s="220"/>
      <c r="B4" s="251">
        <v>1</v>
      </c>
      <c r="C4" s="248">
        <f>+'EUS 2019 '!C4*'EUS 2020'!$A$1</f>
        <v>659000.62800000003</v>
      </c>
      <c r="D4" s="240">
        <f>+'EUS 2019 '!D4*'EUS 2020'!$A$1</f>
        <v>141685.20600000001</v>
      </c>
      <c r="E4" s="248">
        <f>+'EUS 2019 '!E4*'EUS 2020'!$A$1</f>
        <v>2447615.5079999999</v>
      </c>
      <c r="F4" s="240">
        <f>+'EUS 2019 '!F4*'EUS 2020'!$A$1</f>
        <v>184519.60800000001</v>
      </c>
      <c r="G4" s="240">
        <f>+'EUS 2019 '!G4*'EUS 2020'!$A$1</f>
        <v>218766.44399999999</v>
      </c>
      <c r="H4" s="248">
        <f>+'EUS 2019 '!H4*'EUS 2020'!$A$1</f>
        <v>20372.274000000001</v>
      </c>
      <c r="I4" s="240">
        <f>+'EUS 2019 '!I4*'EUS 2020'!$A$1</f>
        <v>99104.304000000004</v>
      </c>
      <c r="J4" s="248">
        <f>+'EUS 2019 '!J4*'EUS 2020'!$A$1</f>
        <v>0</v>
      </c>
      <c r="K4" s="240">
        <f>+'EUS 2019 '!K4*'EUS 2020'!$A$1</f>
        <v>659000.62800000003</v>
      </c>
      <c r="L4" s="240">
        <f>+'EUS 2019 '!L4*'EUS 2020'!$A$1</f>
        <v>2447615.5079999999</v>
      </c>
      <c r="M4" s="240">
        <f>+'EUS 2019 '!M4*'EUS 2020'!$A$1</f>
        <v>0</v>
      </c>
      <c r="N4" s="240">
        <f>+'EUS 2019 '!N4*'EUS 2020'!$A$1</f>
        <v>0</v>
      </c>
      <c r="O4" s="248">
        <f>+'EUS 2019 '!O4*'EUS 2020'!$A$1</f>
        <v>0</v>
      </c>
      <c r="P4" s="254">
        <f>SUM(C4:O4)</f>
        <v>6877680.1080000009</v>
      </c>
      <c r="Q4" s="248">
        <f>+'EUS 2019 '!Q4*'EUS 2020'!$A$1</f>
        <v>0</v>
      </c>
      <c r="R4" s="222"/>
      <c r="S4" s="243"/>
    </row>
    <row r="5" spans="1:94" x14ac:dyDescent="0.25">
      <c r="A5" s="220"/>
      <c r="B5" s="251">
        <v>2</v>
      </c>
      <c r="C5" s="248">
        <f>+'EUS 2019 '!C5*'EUS 2020'!$A$1</f>
        <v>621989.62800000003</v>
      </c>
      <c r="D5" s="240">
        <f>+'EUS 2019 '!D5*'EUS 2020'!$A$1</f>
        <v>133728.348</v>
      </c>
      <c r="E5" s="248">
        <f>+'EUS 2019 '!E5*'EUS 2020'!$A$1</f>
        <v>2341656.5640000002</v>
      </c>
      <c r="F5" s="240">
        <f>+'EUS 2019 '!F5*'EUS 2020'!$A$1</f>
        <v>174156.52799999999</v>
      </c>
      <c r="G5" s="240">
        <f>+'EUS 2019 '!G5*'EUS 2020'!$A$1</f>
        <v>224811.91200000001</v>
      </c>
      <c r="H5" s="248">
        <f>+'EUS 2019 '!H5*'EUS 2020'!$A$1</f>
        <v>20372.274000000001</v>
      </c>
      <c r="I5" s="240">
        <f>+'EUS 2019 '!I5*'EUS 2020'!$A$1</f>
        <v>102240.606</v>
      </c>
      <c r="J5" s="248">
        <f>+'EUS 2019 '!J5*'EUS 2020'!$A$1</f>
        <v>0</v>
      </c>
      <c r="K5" s="240">
        <f>+'EUS 2019 '!K5*'EUS 2020'!$A$1</f>
        <v>0</v>
      </c>
      <c r="L5" s="240">
        <f>+'EUS 2019 '!L5*'EUS 2020'!$A$1</f>
        <v>0</v>
      </c>
      <c r="M5" s="240">
        <f>+'EUS 2019 '!M5*'EUS 2020'!$A$1</f>
        <v>0</v>
      </c>
      <c r="N5" s="240">
        <f>+'EUS 2019 '!N5*'EUS 2020'!$A$1</f>
        <v>0</v>
      </c>
      <c r="O5" s="248">
        <f>+'EUS 2019 '!O5*'EUS 2020'!$A$1</f>
        <v>0</v>
      </c>
      <c r="P5" s="254">
        <f t="shared" ref="P5:P23" si="0">SUM(C5:O5)</f>
        <v>3618955.8600000003</v>
      </c>
      <c r="Q5" s="248">
        <f>+'EUS 2019 '!Q5*'EUS 2020'!$A$1</f>
        <v>0</v>
      </c>
      <c r="R5" s="222"/>
      <c r="S5" s="243"/>
    </row>
    <row r="6" spans="1:94" x14ac:dyDescent="0.25">
      <c r="A6" s="220"/>
      <c r="B6" s="251">
        <v>3</v>
      </c>
      <c r="C6" s="248">
        <f>+'EUS 2019 '!C6*'EUS 2020'!$A$1</f>
        <v>656720.14199999999</v>
      </c>
      <c r="D6" s="240">
        <f>+'EUS 2019 '!D6*'EUS 2020'!$A$1</f>
        <v>141194.43</v>
      </c>
      <c r="E6" s="248">
        <f>+'EUS 2019 '!E6*'EUS 2020'!$A$1</f>
        <v>1930932.8219999999</v>
      </c>
      <c r="F6" s="240">
        <f>+'EUS 2019 '!F6*'EUS 2020'!$A$1</f>
        <v>183881.802</v>
      </c>
      <c r="G6" s="240">
        <f>+'EUS 2019 '!G6*'EUS 2020'!$A$1</f>
        <v>225642.378</v>
      </c>
      <c r="H6" s="248">
        <f>+'EUS 2019 '!H6*'EUS 2020'!$A$1</f>
        <v>20372.274000000001</v>
      </c>
      <c r="I6" s="240">
        <f>+'EUS 2019 '!I6*'EUS 2020'!$A$1</f>
        <v>102651.276</v>
      </c>
      <c r="J6" s="248">
        <f>+'EUS 2019 '!J6*'EUS 2020'!$A$1</f>
        <v>27944.826000000001</v>
      </c>
      <c r="K6" s="240">
        <f>+'EUS 2019 '!K6*'EUS 2020'!$A$1</f>
        <v>0</v>
      </c>
      <c r="L6" s="240">
        <f>+'EUS 2019 '!L6*'EUS 2020'!$A$1</f>
        <v>0</v>
      </c>
      <c r="M6" s="240">
        <f>+'EUS 2019 '!M6*'EUS 2020'!$A$1</f>
        <v>776296.09200000006</v>
      </c>
      <c r="N6" s="240">
        <f>+'EUS 2019 '!N6*'EUS 2020'!$A$1</f>
        <v>517530.39</v>
      </c>
      <c r="O6" s="248">
        <f>+'EUS 2019 '!O6*'EUS 2020'!$A$1</f>
        <v>525379.76399999997</v>
      </c>
      <c r="P6" s="254">
        <f t="shared" si="0"/>
        <v>5108546.1960000005</v>
      </c>
      <c r="Q6" s="248">
        <f>+'EUS 2019 '!Q6*'EUS 2020'!$A$1</f>
        <v>262689.88199999998</v>
      </c>
      <c r="R6" s="222"/>
      <c r="S6" s="243"/>
    </row>
    <row r="7" spans="1:94" x14ac:dyDescent="0.25">
      <c r="A7" s="220"/>
      <c r="B7" s="251">
        <v>4</v>
      </c>
      <c r="C7" s="248">
        <f>+'EUS 2019 '!C7*'EUS 2020'!$A$1</f>
        <v>619563.12600000005</v>
      </c>
      <c r="D7" s="240">
        <f>+'EUS 2019 '!D7*'EUS 2020'!$A$1</f>
        <v>133206.13800000001</v>
      </c>
      <c r="E7" s="248">
        <f>+'EUS 2019 '!E7*'EUS 2020'!$A$1</f>
        <v>1873424.8260000001</v>
      </c>
      <c r="F7" s="240">
        <f>+'EUS 2019 '!F7*'EUS 2020'!$A$1</f>
        <v>173479.17600000001</v>
      </c>
      <c r="G7" s="240">
        <f>+'EUS 2019 '!G7*'EUS 2020'!$A$1</f>
        <v>230890.842</v>
      </c>
      <c r="H7" s="248">
        <f>+'EUS 2019 '!H7*'EUS 2020'!$A$1</f>
        <v>20372.274000000001</v>
      </c>
      <c r="I7" s="240">
        <f>+'EUS 2019 '!I7*'EUS 2020'!$A$1</f>
        <v>105361.698</v>
      </c>
      <c r="J7" s="248">
        <f>+'EUS 2019 '!J7*'EUS 2020'!$A$1</f>
        <v>27944.826000000001</v>
      </c>
      <c r="K7" s="240">
        <f>+'EUS 2019 '!K7*'EUS 2020'!$A$1</f>
        <v>0</v>
      </c>
      <c r="L7" s="240">
        <f>+'EUS 2019 '!L7*'EUS 2020'!$A$1</f>
        <v>0</v>
      </c>
      <c r="M7" s="240">
        <f>+'EUS 2019 '!M7*'EUS 2020'!$A$1</f>
        <v>0</v>
      </c>
      <c r="N7" s="240">
        <f>+'EUS 2019 '!N7*'EUS 2020'!$A$1</f>
        <v>0</v>
      </c>
      <c r="O7" s="248">
        <f>+'EUS 2019 '!O7*'EUS 2020'!$A$1</f>
        <v>495646.24200000003</v>
      </c>
      <c r="P7" s="254">
        <f t="shared" si="0"/>
        <v>3679889.1480000005</v>
      </c>
      <c r="Q7" s="248">
        <f>+'EUS 2019 '!Q7*'EUS 2020'!$A$1</f>
        <v>247823.628</v>
      </c>
      <c r="R7" s="222"/>
      <c r="S7" s="243"/>
    </row>
    <row r="8" spans="1:94" x14ac:dyDescent="0.25">
      <c r="A8" s="220"/>
      <c r="B8" s="251">
        <v>5</v>
      </c>
      <c r="C8" s="248">
        <f>+'EUS 2019 '!C8*'EUS 2020'!$A$1</f>
        <v>584516.24400000006</v>
      </c>
      <c r="D8" s="240">
        <f>+'EUS 2019 '!D8*'EUS 2020'!$A$1</f>
        <v>125670.09</v>
      </c>
      <c r="E8" s="248">
        <f>+'EUS 2019 '!E8*'EUS 2020'!$A$1</f>
        <v>1610166.09</v>
      </c>
      <c r="F8" s="240">
        <f>+'EUS 2019 '!F8*'EUS 2020'!$A$1</f>
        <v>163664.67000000001</v>
      </c>
      <c r="G8" s="240">
        <f>+'EUS 2019 '!G8*'EUS 2020'!$A$1</f>
        <v>236160.6</v>
      </c>
      <c r="H8" s="248">
        <f>+'EUS 2019 '!H8*'EUS 2020'!$A$1</f>
        <v>20372.274000000001</v>
      </c>
      <c r="I8" s="240">
        <f>+'EUS 2019 '!I8*'EUS 2020'!$A$1</f>
        <v>108118.764</v>
      </c>
      <c r="J8" s="248">
        <f>+'EUS 2019 '!J8*'EUS 2020'!$A$1</f>
        <v>27944.826000000001</v>
      </c>
      <c r="K8" s="240">
        <f>+'EUS 2019 '!K8*'EUS 2020'!$A$1</f>
        <v>0</v>
      </c>
      <c r="L8" s="240">
        <f>+'EUS 2019 '!L8*'EUS 2020'!$A$1</f>
        <v>0</v>
      </c>
      <c r="M8" s="240">
        <f>+'EUS 2019 '!M8*'EUS 2020'!$A$1</f>
        <v>0</v>
      </c>
      <c r="N8" s="240">
        <f>+'EUS 2019 '!N8*'EUS 2020'!$A$1</f>
        <v>0</v>
      </c>
      <c r="O8" s="248">
        <f>+'EUS 2019 '!O8*'EUS 2020'!$A$1</f>
        <v>494041.08</v>
      </c>
      <c r="P8" s="254">
        <f t="shared" si="0"/>
        <v>3370654.6380000003</v>
      </c>
      <c r="Q8" s="248">
        <f>+'EUS 2019 '!Q8*'EUS 2020'!$A$1</f>
        <v>247020.54</v>
      </c>
      <c r="R8" s="222"/>
      <c r="S8" s="243"/>
    </row>
    <row r="9" spans="1:94" x14ac:dyDescent="0.25">
      <c r="A9" s="220"/>
      <c r="B9" s="251">
        <v>6</v>
      </c>
      <c r="C9" s="248">
        <f>+'EUS 2019 '!C9*'EUS 2020'!$A$1</f>
        <v>551386.83600000001</v>
      </c>
      <c r="D9" s="240">
        <f>+'EUS 2019 '!D9*'EUS 2020'!$A$1</f>
        <v>118548.768</v>
      </c>
      <c r="E9" s="248">
        <f>+'EUS 2019 '!E9*'EUS 2020'!$A$1</f>
        <v>1360712.9639999999</v>
      </c>
      <c r="F9" s="240">
        <f>+'EUS 2019 '!F9*'EUS 2020'!$A$1</f>
        <v>154387.584</v>
      </c>
      <c r="G9" s="240">
        <f>+'EUS 2019 '!G9*'EUS 2020'!$A$1</f>
        <v>263972.592</v>
      </c>
      <c r="H9" s="248">
        <f>+'EUS 2019 '!H9*'EUS 2020'!$A$1</f>
        <v>20372.274000000001</v>
      </c>
      <c r="I9" s="240">
        <f>+'EUS 2019 '!I9*'EUS 2020'!$A$1</f>
        <v>100594.88400000001</v>
      </c>
      <c r="J9" s="248">
        <f>+'EUS 2019 '!J9*'EUS 2020'!$A$1</f>
        <v>32135.688000000002</v>
      </c>
      <c r="K9" s="240">
        <f>+'EUS 2019 '!K9*'EUS 2020'!$A$1</f>
        <v>0</v>
      </c>
      <c r="L9" s="240">
        <f>+'EUS 2019 '!L9*'EUS 2020'!$A$1</f>
        <v>0</v>
      </c>
      <c r="M9" s="240">
        <f>+'EUS 2019 '!M9*'EUS 2020'!$A$1</f>
        <v>0</v>
      </c>
      <c r="N9" s="240">
        <f>+'EUS 2019 '!N9*'EUS 2020'!$A$1</f>
        <v>0</v>
      </c>
      <c r="O9" s="248">
        <f>+'EUS 2019 '!O9*'EUS 2020'!$A$1</f>
        <v>441104.196</v>
      </c>
      <c r="P9" s="254">
        <f>SUM(C9:O9)</f>
        <v>3043215.7860000003</v>
      </c>
      <c r="Q9" s="248">
        <f>+'EUS 2019 '!Q9*'EUS 2020'!$A$1</f>
        <v>220552.098</v>
      </c>
      <c r="R9" s="222"/>
      <c r="S9" s="243"/>
    </row>
    <row r="10" spans="1:94" x14ac:dyDescent="0.25">
      <c r="A10" s="220"/>
      <c r="B10" s="251">
        <v>7</v>
      </c>
      <c r="C10" s="260">
        <f>+'EUS 2019 '!C10*'EUS 2020'!$B$1</f>
        <v>515259.3</v>
      </c>
      <c r="D10" s="240">
        <f>+'EUS 2019 '!D10*'EUS 2020'!$B$1</f>
        <v>110781.39200000001</v>
      </c>
      <c r="E10" s="260">
        <f>+'EUS 2019 '!E10*'EUS 2020'!$B$1</f>
        <v>1034523.6880000001</v>
      </c>
      <c r="F10" s="240">
        <f>+'EUS 2019 '!F10*'EUS 2020'!$B$1</f>
        <v>144272.60399999999</v>
      </c>
      <c r="G10" s="240">
        <f>+'EUS 2019 '!G10*'EUS 2020'!$B$1</f>
        <v>184541.42</v>
      </c>
      <c r="H10" s="260">
        <f>+'EUS 2019 '!H10*'EUS 2020'!$B$1</f>
        <v>20653.547999999999</v>
      </c>
      <c r="I10" s="240">
        <f>+'EUS 2019 '!I10*'EUS 2020'!$B$1</f>
        <v>76059.664000000004</v>
      </c>
      <c r="J10" s="260">
        <f>+'EUS 2019 '!J10*'EUS 2020'!$B$1</f>
        <v>32579.376</v>
      </c>
      <c r="K10" s="240">
        <f>+'EUS 2019 '!K10*'EUS 2020'!$B$1</f>
        <v>0</v>
      </c>
      <c r="L10" s="240">
        <f>+'EUS 2019 '!L10*'EUS 2020'!$B$1</f>
        <v>0</v>
      </c>
      <c r="M10" s="240">
        <f>+'EUS 2019 '!M10*'EUS 2020'!$B$1</f>
        <v>0</v>
      </c>
      <c r="N10" s="240">
        <f>+'EUS 2019 '!N10*'EUS 2020'!$B$1</f>
        <v>0</v>
      </c>
      <c r="O10" s="260">
        <f>+'EUS 2019 '!O10*'EUS 2020'!$B$1</f>
        <v>408050.20799999998</v>
      </c>
      <c r="P10" s="254">
        <f t="shared" si="0"/>
        <v>2526721.2000000002</v>
      </c>
      <c r="Q10" s="260">
        <f>+'EUS 2019 '!Q10*'EUS 2020'!$B$1</f>
        <v>204025.10399999999</v>
      </c>
      <c r="R10" s="222"/>
      <c r="S10" s="243"/>
    </row>
    <row r="11" spans="1:94" x14ac:dyDescent="0.25">
      <c r="A11" s="220"/>
      <c r="B11" s="251">
        <v>8</v>
      </c>
      <c r="C11" s="260">
        <f>+'EUS 2019 '!C11*'EUS 2020'!$B$1</f>
        <v>477050.59600000002</v>
      </c>
      <c r="D11" s="240">
        <f>+'EUS 2019 '!D11*'EUS 2020'!$B$1</f>
        <v>102565.61600000001</v>
      </c>
      <c r="E11" s="260">
        <f>+'EUS 2019 '!E11*'EUS 2020'!$B$1</f>
        <v>794299.62</v>
      </c>
      <c r="F11" s="240">
        <f>+'EUS 2019 '!F11*'EUS 2020'!$B$1</f>
        <v>133574.20800000001</v>
      </c>
      <c r="G11" s="240">
        <f>+'EUS 2019 '!G11*'EUS 2020'!$B$1</f>
        <v>140758.9</v>
      </c>
      <c r="H11" s="260">
        <f>+'EUS 2019 '!H11*'EUS 2020'!$B$1</f>
        <v>20653.547999999999</v>
      </c>
      <c r="I11" s="240">
        <f>+'EUS 2019 '!I11*'EUS 2020'!$B$1</f>
        <v>58031.628000000004</v>
      </c>
      <c r="J11" s="260">
        <f>+'EUS 2019 '!J11*'EUS 2020'!$B$1</f>
        <v>32579.376</v>
      </c>
      <c r="K11" s="240">
        <f>+'EUS 2019 '!K11*'EUS 2020'!$B$1</f>
        <v>0</v>
      </c>
      <c r="L11" s="240">
        <f>+'EUS 2019 '!L11*'EUS 2020'!$B$1</f>
        <v>0</v>
      </c>
      <c r="M11" s="240">
        <f>+'EUS 2019 '!M11*'EUS 2020'!$B$1</f>
        <v>0</v>
      </c>
      <c r="N11" s="240">
        <f>+'EUS 2019 '!N11*'EUS 2020'!$B$1</f>
        <v>0</v>
      </c>
      <c r="O11" s="260">
        <f>+'EUS 2019 '!O11*'EUS 2020'!$B$1</f>
        <v>365974.16800000001</v>
      </c>
      <c r="P11" s="254">
        <f t="shared" si="0"/>
        <v>2125487.6599999997</v>
      </c>
      <c r="Q11" s="260">
        <f>+'EUS 2019 '!Q11*'EUS 2020'!$B$1</f>
        <v>182987.084</v>
      </c>
      <c r="R11" s="222"/>
      <c r="S11" s="243"/>
    </row>
    <row r="12" spans="1:94" x14ac:dyDescent="0.25">
      <c r="A12" s="220"/>
      <c r="B12" s="251">
        <v>9</v>
      </c>
      <c r="C12" s="248">
        <f>+'EUS 2019 '!C12*'EUS 2020'!$B$1</f>
        <v>441670.94800000003</v>
      </c>
      <c r="D12" s="240">
        <f>+'EUS 2019 '!D12*'EUS 2020'!$B$1</f>
        <v>94959.444000000003</v>
      </c>
      <c r="E12" s="248">
        <f>+'EUS 2019 '!E12*'EUS 2020'!$B$1</f>
        <v>610323.6</v>
      </c>
      <c r="F12" s="240">
        <f>+'EUS 2019 '!F12*'EUS 2020'!$B$1</f>
        <v>123667.372</v>
      </c>
      <c r="G12" s="240">
        <f>+'EUS 2019 '!G12*'EUS 2020'!$B$1</f>
        <v>107314.97600000001</v>
      </c>
      <c r="H12" s="248">
        <f>+'EUS 2019 '!H12*'EUS 2020'!$B$1</f>
        <v>20653.547999999999</v>
      </c>
      <c r="I12" s="240">
        <f>+'EUS 2019 '!I12*'EUS 2020'!$B$1</f>
        <v>44235.868000000002</v>
      </c>
      <c r="J12" s="260">
        <f>+'EUS 2019 '!J12*'EUS 2020'!$B$1</f>
        <v>32579.376</v>
      </c>
      <c r="K12" s="240">
        <f>+'EUS 2019 '!K12*'EUS 2020'!$B$1</f>
        <v>0</v>
      </c>
      <c r="L12" s="240">
        <f>+'EUS 2019 '!L12*'EUS 2020'!$B$1</f>
        <v>0</v>
      </c>
      <c r="M12" s="240">
        <f>+'EUS 2019 '!M12*'EUS 2020'!$B$1</f>
        <v>0</v>
      </c>
      <c r="N12" s="240">
        <f>+'EUS 2019 '!N12*'EUS 2020'!$B$1</f>
        <v>0</v>
      </c>
      <c r="O12" s="248">
        <f>+'EUS 2019 '!O12*'EUS 2020'!$B$1</f>
        <v>331190.76</v>
      </c>
      <c r="P12" s="254">
        <f t="shared" si="0"/>
        <v>1806595.892</v>
      </c>
      <c r="Q12" s="248">
        <f>+'EUS 2019 '!Q12*'EUS 2020'!$B$1</f>
        <v>165595.38</v>
      </c>
      <c r="R12" s="222"/>
      <c r="S12" s="243"/>
    </row>
    <row r="13" spans="1:94" s="256" customFormat="1" x14ac:dyDescent="0.25">
      <c r="A13" s="220"/>
      <c r="B13" s="251">
        <v>10</v>
      </c>
      <c r="C13" s="248">
        <f>+'EUS 2019 '!C13*'EUS 2020'!$B$1</f>
        <v>408983.63199999998</v>
      </c>
      <c r="D13" s="240">
        <f>+'EUS 2019 '!D13*'EUS 2020'!$B$1</f>
        <v>87931.008000000002</v>
      </c>
      <c r="E13" s="248">
        <f>+'EUS 2019 '!E13*'EUS 2020'!$B$1</f>
        <v>461336.58799999999</v>
      </c>
      <c r="F13" s="240">
        <f>+'EUS 2019 '!F13*'EUS 2020'!$B$1</f>
        <v>114515.088</v>
      </c>
      <c r="G13" s="240">
        <f>+'EUS 2019 '!G13*'EUS 2020'!$B$1</f>
        <v>80202.504000000001</v>
      </c>
      <c r="H13" s="248">
        <f>+'EUS 2019 '!H13*'EUS 2020'!$B$1</f>
        <v>20653.547999999999</v>
      </c>
      <c r="I13" s="240">
        <f>+'EUS 2019 '!I13*'EUS 2020'!$B$1</f>
        <v>33084.124000000003</v>
      </c>
      <c r="J13" s="248">
        <f>+'EUS 2019 '!J13*'EUS 2020'!$B$1</f>
        <v>32579.376</v>
      </c>
      <c r="K13" s="240">
        <f>+'EUS 2019 '!K13*'EUS 2020'!$B$1</f>
        <v>0</v>
      </c>
      <c r="L13" s="240">
        <f>+'EUS 2019 '!L13*'EUS 2020'!$B$1</f>
        <v>0</v>
      </c>
      <c r="M13" s="240">
        <f>+'EUS 2019 '!M13*'EUS 2020'!$B$1</f>
        <v>0</v>
      </c>
      <c r="N13" s="240">
        <f>+'EUS 2019 '!N13*'EUS 2020'!$B$1</f>
        <v>0</v>
      </c>
      <c r="O13" s="248">
        <f>+'EUS 2019 '!O13*'EUS 2020'!$B$1</f>
        <v>299716.484</v>
      </c>
      <c r="P13" s="254">
        <f t="shared" si="0"/>
        <v>1539002.352</v>
      </c>
      <c r="Q13" s="248">
        <f>+'EUS 2019 '!Q13*'EUS 2020'!$B$1</f>
        <v>149857.728</v>
      </c>
      <c r="R13" s="222"/>
      <c r="S13" s="243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</row>
    <row r="14" spans="1:94" x14ac:dyDescent="0.25">
      <c r="A14" s="220"/>
      <c r="B14" s="251">
        <v>11</v>
      </c>
      <c r="C14" s="248">
        <f>+'EUS 2019 '!C14*'EUS 2020'!$B$1</f>
        <v>378714.17200000002</v>
      </c>
      <c r="D14" s="240">
        <f>+'EUS 2019 '!D14*'EUS 2020'!$B$1</f>
        <v>81422.740000000005</v>
      </c>
      <c r="E14" s="248">
        <f>+'EUS 2019 '!E14*'EUS 2020'!$B$1</f>
        <v>348591.71600000001</v>
      </c>
      <c r="F14" s="240">
        <f>+'EUS 2019 '!F14*'EUS 2020'!$B$1</f>
        <v>106040.25600000001</v>
      </c>
      <c r="G14" s="240">
        <f>+'EUS 2019 '!G14*'EUS 2020'!$B$1</f>
        <v>59779.228000000003</v>
      </c>
      <c r="H14" s="248">
        <f>+'EUS 2019 '!H14*'EUS 2020'!$B$1</f>
        <v>20653.547999999999</v>
      </c>
      <c r="I14" s="240">
        <f>+'EUS 2019 '!I14*'EUS 2020'!$B$1</f>
        <v>24626.768</v>
      </c>
      <c r="J14" s="248">
        <f>+'EUS 2019 '!J14*'EUS 2020'!$B$1</f>
        <v>32579.376</v>
      </c>
      <c r="K14" s="240">
        <f>+'EUS 2019 '!K14*'EUS 2020'!$B$1</f>
        <v>0</v>
      </c>
      <c r="L14" s="240">
        <f>+'EUS 2019 '!L14*'EUS 2020'!$B$1</f>
        <v>0</v>
      </c>
      <c r="M14" s="240">
        <f>+'EUS 2019 '!M14*'EUS 2020'!$B$1</f>
        <v>0</v>
      </c>
      <c r="N14" s="240">
        <f>+'EUS 2019 '!N14*'EUS 2020'!$B$1</f>
        <v>0</v>
      </c>
      <c r="O14" s="248">
        <f>+'EUS 2019 '!O14*'EUS 2020'!$B$1</f>
        <v>271239.85600000003</v>
      </c>
      <c r="P14" s="254">
        <f t="shared" si="0"/>
        <v>1323647.6600000001</v>
      </c>
      <c r="Q14" s="248">
        <f>+'EUS 2019 '!Q14*'EUS 2020'!$B$1</f>
        <v>135619.92800000001</v>
      </c>
      <c r="R14" s="222"/>
      <c r="S14" s="243"/>
      <c r="T14" s="222"/>
    </row>
    <row r="15" spans="1:94" s="256" customFormat="1" x14ac:dyDescent="0.25">
      <c r="A15" s="220"/>
      <c r="B15" s="251">
        <v>12</v>
      </c>
      <c r="C15" s="248">
        <f>+'EUS 2019 '!C15*'EUS 2020'!$B$1</f>
        <v>350662.10800000001</v>
      </c>
      <c r="D15" s="240">
        <f>+'EUS 2019 '!D15*'EUS 2020'!$B$1</f>
        <v>75392.491999999998</v>
      </c>
      <c r="E15" s="248">
        <f>+'EUS 2019 '!E15*'EUS 2020'!$B$1</f>
        <v>257306.34400000001</v>
      </c>
      <c r="F15" s="240">
        <f>+'EUS 2019 '!F15*'EUS 2020'!$B$1</f>
        <v>98186.335999999996</v>
      </c>
      <c r="G15" s="240">
        <f>+'EUS 2019 '!G15*'EUS 2020'!$B$1</f>
        <v>50557.04</v>
      </c>
      <c r="H15" s="248">
        <f>+'EUS 2019 '!H15*'EUS 2020'!$B$1</f>
        <v>76858.42</v>
      </c>
      <c r="I15" s="240">
        <f>+'EUS 2019 '!I15*'EUS 2020'!$B$1</f>
        <v>19670.78</v>
      </c>
      <c r="J15" s="248">
        <f>+'EUS 2019 '!J15*'EUS 2020'!$B$1</f>
        <v>53824.024000000005</v>
      </c>
      <c r="K15" s="240">
        <f>+'EUS 2019 '!K15*'EUS 2020'!$B$1</f>
        <v>0</v>
      </c>
      <c r="L15" s="240">
        <f>+'EUS 2019 '!L15*'EUS 2020'!$B$1</f>
        <v>0</v>
      </c>
      <c r="M15" s="240">
        <f>+'EUS 2019 '!M15*'EUS 2020'!$B$1</f>
        <v>0</v>
      </c>
      <c r="N15" s="240">
        <f>+'EUS 2019 '!N15*'EUS 2020'!$B$1</f>
        <v>0</v>
      </c>
      <c r="O15" s="248">
        <f>+'EUS 2019 '!O15*'EUS 2020'!$B$1</f>
        <v>245464.81200000001</v>
      </c>
      <c r="P15" s="254">
        <f>SUM(C15:O15)</f>
        <v>1227922.3560000001</v>
      </c>
      <c r="Q15" s="248">
        <f>+'EUS 2019 '!Q15*'EUS 2020'!$B$1</f>
        <v>122731.89200000001</v>
      </c>
      <c r="R15" s="222"/>
      <c r="S15" s="243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</row>
    <row r="16" spans="1:94" s="256" customFormat="1" x14ac:dyDescent="0.25">
      <c r="A16" s="220"/>
      <c r="B16" s="251">
        <v>13</v>
      </c>
      <c r="C16" s="248">
        <f>+'EUS 2019 '!C16*'EUS 2020'!$B$1</f>
        <v>324674.26799999998</v>
      </c>
      <c r="D16" s="240">
        <f>+'EUS 2019 '!D16*'EUS 2020'!$B$1</f>
        <v>69805.312000000005</v>
      </c>
      <c r="E16" s="248">
        <f>+'EUS 2019 '!E16*'EUS 2020'!$B$1</f>
        <v>191473.22400000002</v>
      </c>
      <c r="F16" s="240">
        <f>+'EUS 2019 '!F16*'EUS 2020'!$B$1</f>
        <v>90908.096000000005</v>
      </c>
      <c r="G16" s="240">
        <f>+'EUS 2019 '!G16*'EUS 2020'!$B$1</f>
        <v>37323.595999999998</v>
      </c>
      <c r="H16" s="248">
        <f>+'EUS 2019 '!H16*'EUS 2020'!$B$1</f>
        <v>74584.483999999997</v>
      </c>
      <c r="I16" s="240">
        <f>+'EUS 2019 '!I16*'EUS 2020'!$B$1</f>
        <v>14194.624</v>
      </c>
      <c r="J16" s="248">
        <f>+'EUS 2019 '!J16*'EUS 2020'!$B$1</f>
        <v>53824.024000000005</v>
      </c>
      <c r="K16" s="240">
        <f>+'EUS 2019 '!K16*'EUS 2020'!$B$1</f>
        <v>0</v>
      </c>
      <c r="L16" s="240">
        <f>+'EUS 2019 '!L16*'EUS 2020'!$B$1</f>
        <v>0</v>
      </c>
      <c r="M16" s="240">
        <f>+'EUS 2019 '!M16*'EUS 2020'!$B$1</f>
        <v>0</v>
      </c>
      <c r="N16" s="240">
        <f>+'EUS 2019 '!N16*'EUS 2020'!$B$1</f>
        <v>0</v>
      </c>
      <c r="O16" s="248">
        <f>+'EUS 2019 '!O16*'EUS 2020'!$B$1</f>
        <v>0</v>
      </c>
      <c r="P16" s="254">
        <f t="shared" si="0"/>
        <v>856787.62799999991</v>
      </c>
      <c r="Q16" s="248">
        <f>+'EUS 2019 '!Q16*'EUS 2020'!$B$1</f>
        <v>0</v>
      </c>
      <c r="R16" s="222"/>
      <c r="S16" s="243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</row>
    <row r="17" spans="1:19" x14ac:dyDescent="0.25">
      <c r="A17" s="220"/>
      <c r="B17" s="251">
        <v>14</v>
      </c>
      <c r="C17" s="248">
        <f>+'EUS 2019 '!C17*'EUS 2020'!$B$1</f>
        <v>300574.864</v>
      </c>
      <c r="D17" s="240">
        <f>+'EUS 2019 '!D17*'EUS 2020'!$B$1</f>
        <v>64622.135999999999</v>
      </c>
      <c r="E17" s="248">
        <f>+'EUS 2019 '!E17*'EUS 2020'!$B$1</f>
        <v>144634.46</v>
      </c>
      <c r="F17" s="240">
        <f>+'EUS 2019 '!F17*'EUS 2020'!$B$1</f>
        <v>84161.331999999995</v>
      </c>
      <c r="G17" s="240">
        <f>+'EUS 2019 '!G17*'EUS 2020'!$B$1</f>
        <v>28142.528000000002</v>
      </c>
      <c r="H17" s="248">
        <f>+'EUS 2019 '!H17*'EUS 2020'!$B$1</f>
        <v>73989.271999999997</v>
      </c>
      <c r="I17" s="240">
        <f>+'EUS 2019 '!I17*'EUS 2020'!$B$1</f>
        <v>10493.824000000001</v>
      </c>
      <c r="J17" s="248">
        <f>+'EUS 2019 '!J17*'EUS 2020'!$B$1</f>
        <v>53824.024000000005</v>
      </c>
      <c r="K17" s="240">
        <f>+'EUS 2019 '!K17*'EUS 2020'!$B$1</f>
        <v>0</v>
      </c>
      <c r="L17" s="240">
        <f>+'EUS 2019 '!L17*'EUS 2020'!$B$1</f>
        <v>0</v>
      </c>
      <c r="M17" s="240">
        <f>+'EUS 2019 '!M17*'EUS 2020'!$B$1</f>
        <v>0</v>
      </c>
      <c r="N17" s="240">
        <f>+'EUS 2019 '!N17*'EUS 2020'!$B$1</f>
        <v>0</v>
      </c>
      <c r="O17" s="248">
        <f>+'EUS 2019 '!O17*'EUS 2020'!$B$1</f>
        <v>0</v>
      </c>
      <c r="P17" s="254">
        <f t="shared" si="0"/>
        <v>760442.44</v>
      </c>
      <c r="Q17" s="248">
        <f>+'EUS 2019 '!Q17*'EUS 2020'!$B$1</f>
        <v>0</v>
      </c>
      <c r="R17" s="222"/>
      <c r="S17" s="243"/>
    </row>
    <row r="18" spans="1:19" x14ac:dyDescent="0.25">
      <c r="A18" s="220"/>
      <c r="B18" s="251">
        <v>15</v>
      </c>
      <c r="C18" s="248">
        <f>+'EUS 2019 '!C18*'EUS 2020'!$B$1</f>
        <v>278329.97200000001</v>
      </c>
      <c r="D18" s="240">
        <f>+'EUS 2019 '!D18*'EUS 2020'!$B$1</f>
        <v>59839.880000000005</v>
      </c>
      <c r="E18" s="248">
        <f>+'EUS 2019 '!E18*'EUS 2020'!$B$1</f>
        <v>116173.25200000001</v>
      </c>
      <c r="F18" s="240">
        <f>+'EUS 2019 '!F18*'EUS 2020'!$B$1</f>
        <v>77932.680000000008</v>
      </c>
      <c r="G18" s="240">
        <f>+'EUS 2019 '!G18*'EUS 2020'!$B$1</f>
        <v>21825.468000000001</v>
      </c>
      <c r="H18" s="248">
        <f>+'EUS 2019 '!H18*'EUS 2020'!$B$1</f>
        <v>63716.468000000001</v>
      </c>
      <c r="I18" s="240">
        <f>+'EUS 2019 '!I18*'EUS 2020'!$B$1</f>
        <v>8210.6360000000004</v>
      </c>
      <c r="J18" s="248">
        <f>+'EUS 2019 '!J18*'EUS 2020'!$B$1</f>
        <v>53824.024000000005</v>
      </c>
      <c r="K18" s="240">
        <f>+'EUS 2019 '!K18*'EUS 2020'!$B$1</f>
        <v>0</v>
      </c>
      <c r="L18" s="240">
        <f>+'EUS 2019 '!L18*'EUS 2020'!$B$1</f>
        <v>0</v>
      </c>
      <c r="M18" s="240">
        <f>+'EUS 2019 '!M18*'EUS 2020'!$B$1</f>
        <v>0</v>
      </c>
      <c r="N18" s="240">
        <f>+'EUS 2019 '!N18*'EUS 2020'!$B$1</f>
        <v>0</v>
      </c>
      <c r="O18" s="248">
        <f>+'EUS 2019 '!O18*'EUS 2020'!$B$1</f>
        <v>0</v>
      </c>
      <c r="P18" s="254">
        <f t="shared" si="0"/>
        <v>679852.38000000012</v>
      </c>
      <c r="Q18" s="248">
        <f>+'EUS 2019 '!Q18*'EUS 2020'!$B$1</f>
        <v>0</v>
      </c>
      <c r="R18" s="222"/>
      <c r="S18" s="243"/>
    </row>
    <row r="19" spans="1:19" x14ac:dyDescent="0.25">
      <c r="A19" s="220"/>
      <c r="B19" s="251">
        <v>16</v>
      </c>
      <c r="C19" s="248">
        <f>+'EUS 2019 '!C19*'EUS 2020'!$B$1</f>
        <v>257664.08800000002</v>
      </c>
      <c r="D19" s="240">
        <f>+'EUS 2019 '!D19*'EUS 2020'!$B$1</f>
        <v>55397.892</v>
      </c>
      <c r="E19" s="248">
        <f>+'EUS 2019 '!E19*'EUS 2020'!$B$1</f>
        <v>114095.664</v>
      </c>
      <c r="F19" s="240">
        <f>+'EUS 2019 '!F19*'EUS 2020'!$B$1</f>
        <v>72146.067999999999</v>
      </c>
      <c r="G19" s="240">
        <f>+'EUS 2019 '!G19*'EUS 2020'!$B$1</f>
        <v>21256.984</v>
      </c>
      <c r="H19" s="248">
        <f>+'EUS 2019 '!H19*'EUS 2020'!$B$1</f>
        <v>67129.428</v>
      </c>
      <c r="I19" s="240">
        <f>+'EUS 2019 '!I19*'EUS 2020'!$B$1</f>
        <v>7976.2520000000004</v>
      </c>
      <c r="J19" s="248">
        <f>+'EUS 2019 '!J19*'EUS 2020'!$B$1</f>
        <v>53824.024000000005</v>
      </c>
      <c r="K19" s="240">
        <f>+'EUS 2019 '!K19*'EUS 2020'!$B$1</f>
        <v>0</v>
      </c>
      <c r="L19" s="240">
        <f>+'EUS 2019 '!L19*'EUS 2020'!$B$1</f>
        <v>0</v>
      </c>
      <c r="M19" s="240">
        <f>+'EUS 2019 '!M19*'EUS 2020'!$B$1</f>
        <v>0</v>
      </c>
      <c r="N19" s="240">
        <f>+'EUS 2019 '!N19*'EUS 2020'!$B$1</f>
        <v>0</v>
      </c>
      <c r="O19" s="248">
        <f>+'EUS 2019 '!O19*'EUS 2020'!$B$1</f>
        <v>0</v>
      </c>
      <c r="P19" s="254">
        <f t="shared" si="0"/>
        <v>649490.4</v>
      </c>
      <c r="Q19" s="248">
        <f>+'EUS 2019 '!Q19*'EUS 2020'!$B$1</f>
        <v>0</v>
      </c>
      <c r="R19" s="222"/>
      <c r="S19" s="243"/>
    </row>
    <row r="20" spans="1:19" x14ac:dyDescent="0.25">
      <c r="A20" s="220"/>
      <c r="B20" s="251">
        <v>17</v>
      </c>
      <c r="C20" s="248">
        <f>+'EUS 2019 '!C20*'EUS 2020'!$B$1</f>
        <v>238586.46400000001</v>
      </c>
      <c r="D20" s="240">
        <f>+'EUS 2019 '!D20*'EUS 2020'!$B$1</f>
        <v>51295.144</v>
      </c>
      <c r="E20" s="248">
        <f>+'EUS 2019 '!E20*'EUS 2020'!$B$1</f>
        <v>88214.736000000004</v>
      </c>
      <c r="F20" s="240">
        <f>+'EUS 2019 '!F20*'EUS 2020'!$B$1</f>
        <v>66803.551999999996</v>
      </c>
      <c r="G20" s="240">
        <f>+'EUS 2019 '!G20*'EUS 2020'!$B$1</f>
        <v>15318.228000000001</v>
      </c>
      <c r="H20" s="248">
        <f>+'EUS 2019 '!H20*'EUS 2020'!$B$1</f>
        <v>62452.027999999998</v>
      </c>
      <c r="I20" s="240">
        <f>+'EUS 2019 '!I20*'EUS 2020'!$B$1</f>
        <v>5719.7920000000004</v>
      </c>
      <c r="J20" s="248">
        <f>+'EUS 2019 '!J20*'EUS 2020'!$B$1</f>
        <v>53824.024000000005</v>
      </c>
      <c r="K20" s="240">
        <f>+'EUS 2019 '!K20*'EUS 2020'!$B$1</f>
        <v>0</v>
      </c>
      <c r="L20" s="240">
        <f>+'EUS 2019 '!L20*'EUS 2020'!$B$1</f>
        <v>0</v>
      </c>
      <c r="M20" s="240">
        <f>+'EUS 2019 '!M20*'EUS 2020'!$B$1</f>
        <v>0</v>
      </c>
      <c r="N20" s="240">
        <f>+'EUS 2019 '!N20*'EUS 2020'!$B$1</f>
        <v>0</v>
      </c>
      <c r="O20" s="248">
        <f>+'EUS 2019 '!O20*'EUS 2020'!$B$1</f>
        <v>0</v>
      </c>
      <c r="P20" s="254">
        <f t="shared" si="0"/>
        <v>582213.96799999999</v>
      </c>
      <c r="Q20" s="248">
        <f>+'EUS 2019 '!Q20*'EUS 2020'!$B$1</f>
        <v>0</v>
      </c>
      <c r="R20" s="222"/>
      <c r="S20" s="243"/>
    </row>
    <row r="21" spans="1:19" x14ac:dyDescent="0.25">
      <c r="A21" s="220"/>
      <c r="B21" s="251">
        <v>18</v>
      </c>
      <c r="C21" s="248">
        <f>+'EUS 2019 '!C21*'EUS 2020'!$B$1</f>
        <v>220918.228</v>
      </c>
      <c r="D21" s="240">
        <f>+'EUS 2019 '!D21*'EUS 2020'!$B$1</f>
        <v>47496.684000000001</v>
      </c>
      <c r="E21" s="248">
        <f>+'EUS 2019 '!E21*'EUS 2020'!$B$1</f>
        <v>85430.911999999997</v>
      </c>
      <c r="F21" s="240">
        <f>+'EUS 2019 '!F21*'EUS 2020'!$B$1</f>
        <v>61857.844000000005</v>
      </c>
      <c r="G21" s="240">
        <f>+'EUS 2019 '!G21*'EUS 2020'!$B$1</f>
        <v>14007.528</v>
      </c>
      <c r="H21" s="248">
        <f>+'EUS 2019 '!H21*'EUS 2020'!$B$1</f>
        <v>62452.027999999998</v>
      </c>
      <c r="I21" s="240">
        <f>+'EUS 2019 '!I21*'EUS 2020'!$B$1</f>
        <v>5170.84</v>
      </c>
      <c r="J21" s="248">
        <f>+'EUS 2019 '!J21*'EUS 2020'!$B$1</f>
        <v>53824.024000000005</v>
      </c>
      <c r="K21" s="240">
        <f>+'EUS 2019 '!K21*'EUS 2020'!$B$1</f>
        <v>0</v>
      </c>
      <c r="L21" s="240">
        <f>+'EUS 2019 '!L21*'EUS 2020'!$B$1</f>
        <v>0</v>
      </c>
      <c r="M21" s="240">
        <f>+'EUS 2019 '!M21*'EUS 2020'!$B$1</f>
        <v>0</v>
      </c>
      <c r="N21" s="240">
        <f>+'EUS 2019 '!N21*'EUS 2020'!$B$1</f>
        <v>0</v>
      </c>
      <c r="O21" s="248">
        <f>+'EUS 2019 '!O21*'EUS 2020'!$B$1</f>
        <v>0</v>
      </c>
      <c r="P21" s="254">
        <f t="shared" si="0"/>
        <v>551158.08799999999</v>
      </c>
      <c r="Q21" s="248">
        <f>+'EUS 2019 '!Q21*'EUS 2020'!$B$1</f>
        <v>0</v>
      </c>
      <c r="R21" s="222"/>
      <c r="S21" s="243"/>
    </row>
    <row r="22" spans="1:19" x14ac:dyDescent="0.25">
      <c r="A22" s="220"/>
      <c r="B22" s="251">
        <v>19</v>
      </c>
      <c r="C22" s="248">
        <f>+'EUS 2019 '!C22*'EUS 2020'!$B$1</f>
        <v>206470.71600000001</v>
      </c>
      <c r="D22" s="240">
        <f>+'EUS 2019 '!D22*'EUS 2020'!$B$1</f>
        <v>41293.732000000004</v>
      </c>
      <c r="E22" s="248">
        <f>+'EUS 2019 '!E22*'EUS 2020'!$B$1</f>
        <v>93438.004000000001</v>
      </c>
      <c r="F22" s="240">
        <f>+'EUS 2019 '!F22*'EUS 2020'!$B$1</f>
        <v>57812.664000000004</v>
      </c>
      <c r="G22" s="240">
        <f>+'EUS 2019 '!G22*'EUS 2020'!$B$1</f>
        <v>14201.82</v>
      </c>
      <c r="H22" s="248">
        <f>+'EUS 2019 '!H22*'EUS 2020'!$B$1</f>
        <v>65095.016000000003</v>
      </c>
      <c r="I22" s="240">
        <f>+'EUS 2019 '!I22*'EUS 2020'!$B$1</f>
        <v>5253.08</v>
      </c>
      <c r="J22" s="248">
        <f>+'EUS 2019 '!J22*'EUS 2020'!$B$1</f>
        <v>53824.024000000005</v>
      </c>
      <c r="K22" s="240">
        <f>+'EUS 2019 '!K22*'EUS 2020'!$B$1</f>
        <v>0</v>
      </c>
      <c r="L22" s="240">
        <f>+'EUS 2019 '!L22*'EUS 2020'!$B$1</f>
        <v>0</v>
      </c>
      <c r="M22" s="240">
        <f>+'EUS 2019 '!M22*'EUS 2020'!$B$1</f>
        <v>0</v>
      </c>
      <c r="N22" s="240">
        <f>+'EUS 2019 '!N22*'EUS 2020'!$B$1</f>
        <v>0</v>
      </c>
      <c r="O22" s="248">
        <f>+'EUS 2019 '!O22*'EUS 2020'!$B$1</f>
        <v>0</v>
      </c>
      <c r="P22" s="254">
        <f t="shared" si="0"/>
        <v>537389.0560000001</v>
      </c>
      <c r="Q22" s="248">
        <f>+'EUS 2019 '!Q22*'EUS 2020'!$B$1</f>
        <v>0</v>
      </c>
      <c r="R22" s="222"/>
      <c r="S22" s="243"/>
    </row>
    <row r="23" spans="1:19" x14ac:dyDescent="0.25">
      <c r="A23" s="220"/>
      <c r="B23" s="251">
        <v>20</v>
      </c>
      <c r="C23" s="248">
        <f>+'EUS 2019 '!C23*'EUS 2020'!$B$1</f>
        <v>192973.076</v>
      </c>
      <c r="D23" s="240">
        <f>+'EUS 2019 '!D23*'EUS 2020'!$B$1</f>
        <v>38594.203999999998</v>
      </c>
      <c r="E23" s="248">
        <f>+'EUS 2019 '!E23*'EUS 2020'!$B$1</f>
        <v>73601.716</v>
      </c>
      <c r="F23" s="240">
        <f>+'EUS 2019 '!F23*'EUS 2020'!$B$1</f>
        <v>54031.68</v>
      </c>
      <c r="G23" s="240">
        <f>+'EUS 2019 '!G23*'EUS 2020'!$B$1</f>
        <v>9586.1</v>
      </c>
      <c r="H23" s="248">
        <f>+'EUS 2019 '!H23*'EUS 2020'!$B$1</f>
        <v>62538.380000000005</v>
      </c>
      <c r="I23" s="240">
        <f>+'EUS 2019 '!I23*'EUS 2020'!$B$1</f>
        <v>3421.1840000000002</v>
      </c>
      <c r="J23" s="248">
        <f>+'EUS 2019 '!J23*'EUS 2020'!$B$1</f>
        <v>53824.024000000005</v>
      </c>
      <c r="K23" s="240">
        <f>+'EUS 2019 '!K23*'EUS 2020'!$B$1</f>
        <v>0</v>
      </c>
      <c r="L23" s="240">
        <f>+'EUS 2019 '!L23*'EUS 2020'!$B$1</f>
        <v>0</v>
      </c>
      <c r="M23" s="240">
        <f>+'EUS 2019 '!M23*'EUS 2020'!$B$1</f>
        <v>0</v>
      </c>
      <c r="N23" s="240">
        <f>+'EUS 2019 '!N23*'EUS 2020'!$B$1</f>
        <v>0</v>
      </c>
      <c r="O23" s="248">
        <f>+'EUS 2019 '!O23*'EUS 2020'!$B$1</f>
        <v>0</v>
      </c>
      <c r="P23" s="254">
        <f t="shared" si="0"/>
        <v>488570.36399999994</v>
      </c>
      <c r="Q23" s="248">
        <f>+'EUS 2019 '!Q23*'EUS 2020'!$B$1</f>
        <v>0</v>
      </c>
      <c r="R23" s="222"/>
      <c r="S23" s="243"/>
    </row>
    <row r="25" spans="1:19" x14ac:dyDescent="0.25">
      <c r="C25" s="222"/>
    </row>
    <row r="26" spans="1:19" x14ac:dyDescent="0.25">
      <c r="P26" s="222"/>
    </row>
    <row r="27" spans="1:19" x14ac:dyDescent="0.25">
      <c r="Q27" s="222"/>
    </row>
    <row r="29" spans="1:19" x14ac:dyDescent="0.25">
      <c r="A29" s="341" t="s">
        <v>74</v>
      </c>
      <c r="B29" s="341"/>
      <c r="C29" s="341"/>
      <c r="D29" s="341"/>
      <c r="E29" s="341"/>
      <c r="F29" s="341"/>
      <c r="H29" s="341" t="s">
        <v>14</v>
      </c>
      <c r="I29" s="341"/>
      <c r="J29" s="341"/>
      <c r="K29" s="341"/>
      <c r="L29" s="341"/>
      <c r="M29" s="341"/>
      <c r="N29" s="341"/>
      <c r="O29" s="341"/>
      <c r="P29" s="341"/>
      <c r="Q29" s="341"/>
      <c r="R29" s="341"/>
    </row>
    <row r="31" spans="1:19" x14ac:dyDescent="0.25">
      <c r="A31" s="342" t="s">
        <v>15</v>
      </c>
      <c r="B31" s="342" t="s">
        <v>16</v>
      </c>
      <c r="C31" s="342" t="s">
        <v>67</v>
      </c>
      <c r="D31" s="343" t="s">
        <v>18</v>
      </c>
      <c r="E31" s="343"/>
      <c r="F31" s="343"/>
      <c r="G31" s="223"/>
      <c r="H31" s="342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38"/>
      <c r="P31" s="338"/>
      <c r="Q31" s="338"/>
      <c r="R31" s="339"/>
    </row>
    <row r="32" spans="1:19" x14ac:dyDescent="0.25">
      <c r="A32" s="342"/>
      <c r="B32" s="342"/>
      <c r="C32" s="342"/>
      <c r="D32" s="224" t="s">
        <v>23</v>
      </c>
      <c r="E32" s="224">
        <v>0.25</v>
      </c>
      <c r="F32" s="225">
        <v>0.5</v>
      </c>
      <c r="G32" s="223"/>
      <c r="H32" s="342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24">
        <v>0.30599999999999999</v>
      </c>
    </row>
    <row r="33" spans="1:18" x14ac:dyDescent="0.25">
      <c r="A33" s="224">
        <v>1</v>
      </c>
      <c r="B33" s="245">
        <f>VLOOKUP(A33,B3:C23,2,0)</f>
        <v>659000.62800000003</v>
      </c>
      <c r="C33" s="245">
        <f>VLOOKUP(A33,B3:E23,4,0)</f>
        <v>2447615.5079999999</v>
      </c>
      <c r="D33" s="245">
        <f>ROUND((B33+C33)/190,0)</f>
        <v>16351</v>
      </c>
      <c r="E33" s="246">
        <f>ROUND(D33*1.25,0)</f>
        <v>20439</v>
      </c>
      <c r="F33" s="246">
        <f>ROUND(D33*1.5,0)</f>
        <v>24527</v>
      </c>
      <c r="H33" s="224">
        <v>1</v>
      </c>
      <c r="I33" s="245">
        <f>VLOOKUP(H33,B4:C23,2,0)</f>
        <v>659000.62800000003</v>
      </c>
      <c r="J33" s="245">
        <f>VLOOKUP(H33,B4:E23,4,0)</f>
        <v>2447615.5079999999</v>
      </c>
      <c r="K33" s="245">
        <f>VLOOKUP(H33,B4:H23,7,0)</f>
        <v>20372.274000000001</v>
      </c>
      <c r="L33" s="245">
        <f>VLOOKUP(H33,B4:J23,9,0)</f>
        <v>0</v>
      </c>
      <c r="M33" s="241">
        <f>SUM(I33:L33)</f>
        <v>3126988.41</v>
      </c>
      <c r="N33" s="247">
        <f>ROUND(M33*0.306,0)</f>
        <v>956858</v>
      </c>
      <c r="O33" s="248">
        <f>ROUND($M33*$O$32*3,0)</f>
        <v>1407145</v>
      </c>
      <c r="P33" s="248">
        <f>ROUND($M33*$P$32*3,0)</f>
        <v>712953</v>
      </c>
      <c r="Q33" s="248">
        <f>ROUND($M33*$Q$32*3,0)</f>
        <v>750477</v>
      </c>
      <c r="R33" s="249">
        <f>SUM(O33:Q33)</f>
        <v>2870575</v>
      </c>
    </row>
    <row r="34" spans="1:18" x14ac:dyDescent="0.25">
      <c r="A34" s="224">
        <v>2</v>
      </c>
      <c r="B34" s="245">
        <f t="shared" ref="B34:B52" si="1">VLOOKUP(A34,B4:C24,2,0)</f>
        <v>621989.62800000003</v>
      </c>
      <c r="C34" s="245">
        <f t="shared" ref="C34:C52" si="2">VLOOKUP(A34,B4:E24,4,0)</f>
        <v>2341656.5640000002</v>
      </c>
      <c r="D34" s="245">
        <f t="shared" ref="D34:D52" si="3">ROUND((B34+C34)/190,0)</f>
        <v>15598</v>
      </c>
      <c r="E34" s="246">
        <f t="shared" ref="E34:E52" si="4">ROUND(D34*1.25,0)</f>
        <v>19498</v>
      </c>
      <c r="F34" s="246">
        <f t="shared" ref="F34:F52" si="5">ROUND(D34*1.5,0)</f>
        <v>23397</v>
      </c>
      <c r="H34" s="224">
        <v>2</v>
      </c>
      <c r="I34" s="245">
        <f t="shared" ref="I34:I52" si="6">VLOOKUP(H34,B5:C24,2,0)</f>
        <v>621989.62800000003</v>
      </c>
      <c r="J34" s="245">
        <f t="shared" ref="J34:J52" si="7">VLOOKUP(H34,B5:E24,4,0)</f>
        <v>2341656.5640000002</v>
      </c>
      <c r="K34" s="245">
        <f t="shared" ref="K34:K52" si="8">VLOOKUP(H34,B5:H24,7,0)</f>
        <v>20372.274000000001</v>
      </c>
      <c r="L34" s="245">
        <f t="shared" ref="L34:L52" si="9">VLOOKUP(H34,B5:J24,9,0)</f>
        <v>0</v>
      </c>
      <c r="M34" s="241">
        <f t="shared" ref="M34:M52" si="10">SUM(I34:L34)</f>
        <v>2984018.4660000005</v>
      </c>
      <c r="N34" s="247">
        <f t="shared" ref="N34:N52" si="11">ROUND(M34*0.306,0)</f>
        <v>913110</v>
      </c>
      <c r="O34" s="248">
        <f t="shared" ref="O34:O52" si="12">ROUND($M34*$O$32*3,0)</f>
        <v>1342808</v>
      </c>
      <c r="P34" s="248">
        <f t="shared" ref="P34:P52" si="13">ROUND($M34*$P$32*3,0)</f>
        <v>680356</v>
      </c>
      <c r="Q34" s="248">
        <f t="shared" ref="Q34:Q52" si="14">ROUND($M34*$Q$32*3,0)</f>
        <v>716164</v>
      </c>
      <c r="R34" s="249">
        <f t="shared" ref="R34:R52" si="15">SUM(O34:Q34)</f>
        <v>2739328</v>
      </c>
    </row>
    <row r="35" spans="1:18" x14ac:dyDescent="0.25">
      <c r="A35" s="224">
        <v>3</v>
      </c>
      <c r="B35" s="245">
        <f t="shared" si="1"/>
        <v>656720.14199999999</v>
      </c>
      <c r="C35" s="245">
        <f t="shared" si="2"/>
        <v>1930932.8219999999</v>
      </c>
      <c r="D35" s="245">
        <f t="shared" si="3"/>
        <v>13619</v>
      </c>
      <c r="E35" s="246">
        <f t="shared" si="4"/>
        <v>17024</v>
      </c>
      <c r="F35" s="246">
        <f t="shared" si="5"/>
        <v>20429</v>
      </c>
      <c r="H35" s="224">
        <v>3</v>
      </c>
      <c r="I35" s="245">
        <f t="shared" si="6"/>
        <v>656720.14199999999</v>
      </c>
      <c r="J35" s="245">
        <f t="shared" si="7"/>
        <v>1930932.8219999999</v>
      </c>
      <c r="K35" s="245">
        <f t="shared" si="8"/>
        <v>20372.274000000001</v>
      </c>
      <c r="L35" s="245">
        <f t="shared" si="9"/>
        <v>27944.826000000001</v>
      </c>
      <c r="M35" s="241">
        <f t="shared" si="10"/>
        <v>2635970.0639999998</v>
      </c>
      <c r="N35" s="247">
        <f t="shared" si="11"/>
        <v>806607</v>
      </c>
      <c r="O35" s="248">
        <f t="shared" si="12"/>
        <v>1186187</v>
      </c>
      <c r="P35" s="248">
        <f t="shared" si="13"/>
        <v>601001</v>
      </c>
      <c r="Q35" s="248">
        <f t="shared" si="14"/>
        <v>632633</v>
      </c>
      <c r="R35" s="249">
        <f t="shared" si="15"/>
        <v>2419821</v>
      </c>
    </row>
    <row r="36" spans="1:18" x14ac:dyDescent="0.25">
      <c r="A36" s="224">
        <v>4</v>
      </c>
      <c r="B36" s="245">
        <f t="shared" si="1"/>
        <v>619563.12600000005</v>
      </c>
      <c r="C36" s="245">
        <f t="shared" si="2"/>
        <v>1873424.8260000001</v>
      </c>
      <c r="D36" s="245">
        <f t="shared" si="3"/>
        <v>13121</v>
      </c>
      <c r="E36" s="246">
        <f t="shared" si="4"/>
        <v>16401</v>
      </c>
      <c r="F36" s="246">
        <f t="shared" si="5"/>
        <v>19682</v>
      </c>
      <c r="H36" s="224">
        <v>4</v>
      </c>
      <c r="I36" s="245">
        <f t="shared" si="6"/>
        <v>619563.12600000005</v>
      </c>
      <c r="J36" s="245">
        <f t="shared" si="7"/>
        <v>1873424.8260000001</v>
      </c>
      <c r="K36" s="245">
        <f t="shared" si="8"/>
        <v>20372.274000000001</v>
      </c>
      <c r="L36" s="245">
        <f t="shared" si="9"/>
        <v>27944.826000000001</v>
      </c>
      <c r="M36" s="241">
        <f t="shared" si="10"/>
        <v>2541305.0520000001</v>
      </c>
      <c r="N36" s="247">
        <f t="shared" si="11"/>
        <v>777639</v>
      </c>
      <c r="O36" s="248">
        <f t="shared" si="12"/>
        <v>1143587</v>
      </c>
      <c r="P36" s="248">
        <f t="shared" si="13"/>
        <v>579418</v>
      </c>
      <c r="Q36" s="248">
        <f t="shared" si="14"/>
        <v>609913</v>
      </c>
      <c r="R36" s="249">
        <f t="shared" si="15"/>
        <v>2332918</v>
      </c>
    </row>
    <row r="37" spans="1:18" x14ac:dyDescent="0.25">
      <c r="A37" s="224">
        <v>5</v>
      </c>
      <c r="B37" s="245">
        <f t="shared" si="1"/>
        <v>584516.24400000006</v>
      </c>
      <c r="C37" s="245">
        <f t="shared" si="2"/>
        <v>1610166.09</v>
      </c>
      <c r="D37" s="245">
        <f t="shared" si="3"/>
        <v>11551</v>
      </c>
      <c r="E37" s="246">
        <f t="shared" si="4"/>
        <v>14439</v>
      </c>
      <c r="F37" s="246">
        <f t="shared" si="5"/>
        <v>17327</v>
      </c>
      <c r="H37" s="224">
        <v>5</v>
      </c>
      <c r="I37" s="245">
        <f t="shared" si="6"/>
        <v>584516.24400000006</v>
      </c>
      <c r="J37" s="245">
        <f t="shared" si="7"/>
        <v>1610166.09</v>
      </c>
      <c r="K37" s="245">
        <f t="shared" si="8"/>
        <v>20372.274000000001</v>
      </c>
      <c r="L37" s="245">
        <f t="shared" si="9"/>
        <v>27944.826000000001</v>
      </c>
      <c r="M37" s="241">
        <f t="shared" si="10"/>
        <v>2242999.4340000004</v>
      </c>
      <c r="N37" s="247">
        <f t="shared" si="11"/>
        <v>686358</v>
      </c>
      <c r="O37" s="248">
        <f t="shared" si="12"/>
        <v>1009350</v>
      </c>
      <c r="P37" s="248">
        <f t="shared" si="13"/>
        <v>511404</v>
      </c>
      <c r="Q37" s="248">
        <f t="shared" si="14"/>
        <v>538320</v>
      </c>
      <c r="R37" s="249">
        <f t="shared" si="15"/>
        <v>2059074</v>
      </c>
    </row>
    <row r="38" spans="1:18" x14ac:dyDescent="0.25">
      <c r="A38" s="224">
        <v>6</v>
      </c>
      <c r="B38" s="245">
        <f t="shared" si="1"/>
        <v>551386.83600000001</v>
      </c>
      <c r="C38" s="245">
        <f t="shared" si="2"/>
        <v>1360712.9639999999</v>
      </c>
      <c r="D38" s="245">
        <f t="shared" si="3"/>
        <v>10064</v>
      </c>
      <c r="E38" s="246">
        <f t="shared" si="4"/>
        <v>12580</v>
      </c>
      <c r="F38" s="246">
        <f t="shared" si="5"/>
        <v>15096</v>
      </c>
      <c r="H38" s="224">
        <v>6</v>
      </c>
      <c r="I38" s="245">
        <f t="shared" si="6"/>
        <v>551386.83600000001</v>
      </c>
      <c r="J38" s="245">
        <f t="shared" si="7"/>
        <v>1360712.9639999999</v>
      </c>
      <c r="K38" s="245">
        <f t="shared" si="8"/>
        <v>20372.274000000001</v>
      </c>
      <c r="L38" s="245">
        <f t="shared" si="9"/>
        <v>32135.688000000002</v>
      </c>
      <c r="M38" s="241">
        <f t="shared" si="10"/>
        <v>1964607.7619999999</v>
      </c>
      <c r="N38" s="247">
        <f t="shared" si="11"/>
        <v>601170</v>
      </c>
      <c r="O38" s="248">
        <f t="shared" si="12"/>
        <v>884073</v>
      </c>
      <c r="P38" s="248">
        <f t="shared" si="13"/>
        <v>447931</v>
      </c>
      <c r="Q38" s="248">
        <f t="shared" si="14"/>
        <v>471506</v>
      </c>
      <c r="R38" s="249">
        <f t="shared" si="15"/>
        <v>1803510</v>
      </c>
    </row>
    <row r="39" spans="1:18" x14ac:dyDescent="0.25">
      <c r="A39" s="224">
        <v>7</v>
      </c>
      <c r="B39" s="245">
        <f t="shared" si="1"/>
        <v>515259.3</v>
      </c>
      <c r="C39" s="245">
        <f t="shared" si="2"/>
        <v>1034523.6880000001</v>
      </c>
      <c r="D39" s="245">
        <f t="shared" si="3"/>
        <v>8157</v>
      </c>
      <c r="E39" s="246">
        <f t="shared" si="4"/>
        <v>10196</v>
      </c>
      <c r="F39" s="246">
        <f t="shared" si="5"/>
        <v>12236</v>
      </c>
      <c r="H39" s="224">
        <v>7</v>
      </c>
      <c r="I39" s="245">
        <f t="shared" si="6"/>
        <v>515259.3</v>
      </c>
      <c r="J39" s="245">
        <f t="shared" si="7"/>
        <v>1034523.6880000001</v>
      </c>
      <c r="K39" s="245">
        <f t="shared" si="8"/>
        <v>20653.547999999999</v>
      </c>
      <c r="L39" s="245">
        <f t="shared" si="9"/>
        <v>32579.376</v>
      </c>
      <c r="M39" s="241">
        <f t="shared" si="10"/>
        <v>1603015.912</v>
      </c>
      <c r="N39" s="247">
        <f>ROUND(M39*0.306,0)</f>
        <v>490523</v>
      </c>
      <c r="O39" s="248">
        <f t="shared" si="12"/>
        <v>721357</v>
      </c>
      <c r="P39" s="248">
        <f t="shared" si="13"/>
        <v>365488</v>
      </c>
      <c r="Q39" s="248">
        <f t="shared" si="14"/>
        <v>384724</v>
      </c>
      <c r="R39" s="249">
        <f t="shared" si="15"/>
        <v>1471569</v>
      </c>
    </row>
    <row r="40" spans="1:18" x14ac:dyDescent="0.25">
      <c r="A40" s="224">
        <v>8</v>
      </c>
      <c r="B40" s="245">
        <f t="shared" si="1"/>
        <v>477050.59600000002</v>
      </c>
      <c r="C40" s="245">
        <f t="shared" si="2"/>
        <v>794299.62</v>
      </c>
      <c r="D40" s="245">
        <f t="shared" si="3"/>
        <v>6691</v>
      </c>
      <c r="E40" s="246">
        <f t="shared" si="4"/>
        <v>8364</v>
      </c>
      <c r="F40" s="246">
        <f t="shared" si="5"/>
        <v>10037</v>
      </c>
      <c r="H40" s="224">
        <v>8</v>
      </c>
      <c r="I40" s="245">
        <f t="shared" si="6"/>
        <v>477050.59600000002</v>
      </c>
      <c r="J40" s="245">
        <f t="shared" si="7"/>
        <v>794299.62</v>
      </c>
      <c r="K40" s="245">
        <f t="shared" si="8"/>
        <v>20653.547999999999</v>
      </c>
      <c r="L40" s="245">
        <f t="shared" si="9"/>
        <v>32579.376</v>
      </c>
      <c r="M40" s="241">
        <f t="shared" si="10"/>
        <v>1324583.1399999999</v>
      </c>
      <c r="N40" s="247">
        <f t="shared" si="11"/>
        <v>405322</v>
      </c>
      <c r="O40" s="248">
        <f t="shared" si="12"/>
        <v>596062</v>
      </c>
      <c r="P40" s="248">
        <f t="shared" si="13"/>
        <v>302005</v>
      </c>
      <c r="Q40" s="248">
        <f t="shared" si="14"/>
        <v>317900</v>
      </c>
      <c r="R40" s="249">
        <f t="shared" si="15"/>
        <v>1215967</v>
      </c>
    </row>
    <row r="41" spans="1:18" x14ac:dyDescent="0.25">
      <c r="A41" s="224">
        <v>9</v>
      </c>
      <c r="B41" s="245">
        <f t="shared" si="1"/>
        <v>441670.94800000003</v>
      </c>
      <c r="C41" s="245">
        <f t="shared" si="2"/>
        <v>610323.6</v>
      </c>
      <c r="D41" s="245">
        <f t="shared" si="3"/>
        <v>5537</v>
      </c>
      <c r="E41" s="246">
        <f t="shared" si="4"/>
        <v>6921</v>
      </c>
      <c r="F41" s="246">
        <f t="shared" si="5"/>
        <v>8306</v>
      </c>
      <c r="G41" s="222"/>
      <c r="H41" s="224">
        <v>9</v>
      </c>
      <c r="I41" s="245">
        <f t="shared" si="6"/>
        <v>441670.94800000003</v>
      </c>
      <c r="J41" s="245">
        <f t="shared" si="7"/>
        <v>610323.6</v>
      </c>
      <c r="K41" s="245">
        <f t="shared" si="8"/>
        <v>20653.547999999999</v>
      </c>
      <c r="L41" s="245">
        <f t="shared" si="9"/>
        <v>32579.376</v>
      </c>
      <c r="M41" s="241">
        <f t="shared" si="10"/>
        <v>1105227.4719999998</v>
      </c>
      <c r="N41" s="247">
        <f t="shared" si="11"/>
        <v>338200</v>
      </c>
      <c r="O41" s="248">
        <f t="shared" si="12"/>
        <v>497352</v>
      </c>
      <c r="P41" s="248">
        <f t="shared" si="13"/>
        <v>251992</v>
      </c>
      <c r="Q41" s="248">
        <f t="shared" si="14"/>
        <v>265255</v>
      </c>
      <c r="R41" s="249">
        <f t="shared" si="15"/>
        <v>1014599</v>
      </c>
    </row>
    <row r="42" spans="1:18" x14ac:dyDescent="0.25">
      <c r="A42" s="224">
        <v>10</v>
      </c>
      <c r="B42" s="245">
        <f t="shared" si="1"/>
        <v>408983.63199999998</v>
      </c>
      <c r="C42" s="245">
        <f t="shared" si="2"/>
        <v>461336.58799999999</v>
      </c>
      <c r="D42" s="245">
        <f t="shared" si="3"/>
        <v>4581</v>
      </c>
      <c r="E42" s="246">
        <f t="shared" si="4"/>
        <v>5726</v>
      </c>
      <c r="F42" s="246">
        <f t="shared" si="5"/>
        <v>6872</v>
      </c>
      <c r="H42" s="224">
        <v>10</v>
      </c>
      <c r="I42" s="245">
        <f t="shared" si="6"/>
        <v>408983.63199999998</v>
      </c>
      <c r="J42" s="245">
        <f t="shared" si="7"/>
        <v>461336.58799999999</v>
      </c>
      <c r="K42" s="245">
        <f t="shared" si="8"/>
        <v>20653.547999999999</v>
      </c>
      <c r="L42" s="245">
        <f t="shared" si="9"/>
        <v>32579.376</v>
      </c>
      <c r="M42" s="241">
        <f t="shared" si="10"/>
        <v>923553.14399999997</v>
      </c>
      <c r="N42" s="247">
        <f t="shared" si="11"/>
        <v>282607</v>
      </c>
      <c r="O42" s="248">
        <f>ROUND($M42*$O$32*3,0)</f>
        <v>415599</v>
      </c>
      <c r="P42" s="248">
        <f t="shared" si="13"/>
        <v>210570</v>
      </c>
      <c r="Q42" s="248">
        <f t="shared" si="14"/>
        <v>221653</v>
      </c>
      <c r="R42" s="249">
        <f t="shared" si="15"/>
        <v>847822</v>
      </c>
    </row>
    <row r="43" spans="1:18" x14ac:dyDescent="0.25">
      <c r="A43" s="224">
        <v>11</v>
      </c>
      <c r="B43" s="245">
        <f t="shared" si="1"/>
        <v>378714.17200000002</v>
      </c>
      <c r="C43" s="245">
        <f t="shared" si="2"/>
        <v>348591.71600000001</v>
      </c>
      <c r="D43" s="245">
        <f t="shared" si="3"/>
        <v>3828</v>
      </c>
      <c r="E43" s="246">
        <f t="shared" si="4"/>
        <v>4785</v>
      </c>
      <c r="F43" s="246">
        <f t="shared" si="5"/>
        <v>5742</v>
      </c>
      <c r="H43" s="224">
        <v>11</v>
      </c>
      <c r="I43" s="245">
        <f t="shared" si="6"/>
        <v>378714.17200000002</v>
      </c>
      <c r="J43" s="245">
        <f t="shared" si="7"/>
        <v>348591.71600000001</v>
      </c>
      <c r="K43" s="245">
        <f t="shared" si="8"/>
        <v>20653.547999999999</v>
      </c>
      <c r="L43" s="245">
        <f t="shared" si="9"/>
        <v>32579.376</v>
      </c>
      <c r="M43" s="241">
        <f t="shared" si="10"/>
        <v>780538.81200000003</v>
      </c>
      <c r="N43" s="247">
        <f t="shared" si="11"/>
        <v>238845</v>
      </c>
      <c r="O43" s="248">
        <f t="shared" si="12"/>
        <v>351242</v>
      </c>
      <c r="P43" s="248">
        <f t="shared" si="13"/>
        <v>177963</v>
      </c>
      <c r="Q43" s="248">
        <f t="shared" si="14"/>
        <v>187329</v>
      </c>
      <c r="R43" s="249">
        <f t="shared" si="15"/>
        <v>716534</v>
      </c>
    </row>
    <row r="44" spans="1:18" s="256" customFormat="1" x14ac:dyDescent="0.25">
      <c r="A44" s="224">
        <v>12</v>
      </c>
      <c r="B44" s="245">
        <f t="shared" si="1"/>
        <v>350662.10800000001</v>
      </c>
      <c r="C44" s="245">
        <f t="shared" si="2"/>
        <v>257306.34400000001</v>
      </c>
      <c r="D44" s="245">
        <f t="shared" si="3"/>
        <v>3200</v>
      </c>
      <c r="E44" s="246">
        <f t="shared" si="4"/>
        <v>4000</v>
      </c>
      <c r="F44" s="246">
        <f t="shared" si="5"/>
        <v>4800</v>
      </c>
      <c r="G44" s="220"/>
      <c r="H44" s="224">
        <v>12</v>
      </c>
      <c r="I44" s="245">
        <f t="shared" si="6"/>
        <v>350662.10800000001</v>
      </c>
      <c r="J44" s="245">
        <f t="shared" si="7"/>
        <v>257306.34400000001</v>
      </c>
      <c r="K44" s="245">
        <f t="shared" si="8"/>
        <v>76858.42</v>
      </c>
      <c r="L44" s="245">
        <f t="shared" si="9"/>
        <v>53824.024000000005</v>
      </c>
      <c r="M44" s="241">
        <f t="shared" si="10"/>
        <v>738650.89600000007</v>
      </c>
      <c r="N44" s="247">
        <f t="shared" si="11"/>
        <v>226027</v>
      </c>
      <c r="O44" s="248">
        <f t="shared" si="12"/>
        <v>332393</v>
      </c>
      <c r="P44" s="248">
        <f t="shared" si="13"/>
        <v>168412</v>
      </c>
      <c r="Q44" s="248">
        <f t="shared" si="14"/>
        <v>177276</v>
      </c>
      <c r="R44" s="249">
        <f t="shared" si="15"/>
        <v>678081</v>
      </c>
    </row>
    <row r="45" spans="1:18" s="256" customFormat="1" x14ac:dyDescent="0.25">
      <c r="A45" s="224">
        <v>13</v>
      </c>
      <c r="B45" s="245">
        <f t="shared" si="1"/>
        <v>324674.26799999998</v>
      </c>
      <c r="C45" s="245">
        <f t="shared" si="2"/>
        <v>191473.22400000002</v>
      </c>
      <c r="D45" s="245">
        <f t="shared" si="3"/>
        <v>2717</v>
      </c>
      <c r="E45" s="246">
        <f t="shared" si="4"/>
        <v>3396</v>
      </c>
      <c r="F45" s="246">
        <f t="shared" si="5"/>
        <v>4076</v>
      </c>
      <c r="G45" s="220"/>
      <c r="H45" s="224">
        <v>13</v>
      </c>
      <c r="I45" s="245">
        <f t="shared" si="6"/>
        <v>324674.26799999998</v>
      </c>
      <c r="J45" s="245">
        <f t="shared" si="7"/>
        <v>191473.22400000002</v>
      </c>
      <c r="K45" s="245">
        <f t="shared" si="8"/>
        <v>74584.483999999997</v>
      </c>
      <c r="L45" s="245">
        <f t="shared" si="9"/>
        <v>53824.024000000005</v>
      </c>
      <c r="M45" s="241">
        <f t="shared" si="10"/>
        <v>644556</v>
      </c>
      <c r="N45" s="247">
        <f t="shared" si="11"/>
        <v>197234</v>
      </c>
      <c r="O45" s="248">
        <f t="shared" si="12"/>
        <v>290050</v>
      </c>
      <c r="P45" s="248">
        <f t="shared" si="13"/>
        <v>146959</v>
      </c>
      <c r="Q45" s="248">
        <f t="shared" si="14"/>
        <v>154693</v>
      </c>
      <c r="R45" s="249">
        <f t="shared" si="15"/>
        <v>591702</v>
      </c>
    </row>
    <row r="46" spans="1:18" x14ac:dyDescent="0.25">
      <c r="A46" s="224">
        <v>14</v>
      </c>
      <c r="B46" s="245">
        <f t="shared" si="1"/>
        <v>300574.864</v>
      </c>
      <c r="C46" s="245">
        <f>VLOOKUP(A46,B16:E36,4,0)</f>
        <v>144634.46</v>
      </c>
      <c r="D46" s="245">
        <f t="shared" si="3"/>
        <v>2343</v>
      </c>
      <c r="E46" s="246">
        <f t="shared" si="4"/>
        <v>2929</v>
      </c>
      <c r="F46" s="246">
        <f t="shared" si="5"/>
        <v>3515</v>
      </c>
      <c r="H46" s="224">
        <v>14</v>
      </c>
      <c r="I46" s="245">
        <f t="shared" si="6"/>
        <v>300574.864</v>
      </c>
      <c r="J46" s="245">
        <f t="shared" si="7"/>
        <v>144634.46</v>
      </c>
      <c r="K46" s="245">
        <f t="shared" si="8"/>
        <v>73989.271999999997</v>
      </c>
      <c r="L46" s="245">
        <f t="shared" si="9"/>
        <v>53824.024000000005</v>
      </c>
      <c r="M46" s="241">
        <f t="shared" si="10"/>
        <v>573022.62</v>
      </c>
      <c r="N46" s="247">
        <f t="shared" si="11"/>
        <v>175345</v>
      </c>
      <c r="O46" s="248">
        <f t="shared" si="12"/>
        <v>257860</v>
      </c>
      <c r="P46" s="248">
        <f t="shared" si="13"/>
        <v>130649</v>
      </c>
      <c r="Q46" s="248">
        <f t="shared" si="14"/>
        <v>137525</v>
      </c>
      <c r="R46" s="249">
        <f t="shared" si="15"/>
        <v>526034</v>
      </c>
    </row>
    <row r="47" spans="1:18" ht="13.5" customHeight="1" x14ac:dyDescent="0.25">
      <c r="A47" s="224">
        <v>15</v>
      </c>
      <c r="B47" s="245">
        <f t="shared" si="1"/>
        <v>278329.97200000001</v>
      </c>
      <c r="C47" s="245">
        <f t="shared" si="2"/>
        <v>116173.25200000001</v>
      </c>
      <c r="D47" s="245">
        <f t="shared" si="3"/>
        <v>2076</v>
      </c>
      <c r="E47" s="246">
        <f t="shared" si="4"/>
        <v>2595</v>
      </c>
      <c r="F47" s="246">
        <f t="shared" si="5"/>
        <v>3114</v>
      </c>
      <c r="H47" s="224">
        <v>15</v>
      </c>
      <c r="I47" s="245">
        <f t="shared" si="6"/>
        <v>278329.97200000001</v>
      </c>
      <c r="J47" s="245">
        <f t="shared" si="7"/>
        <v>116173.25200000001</v>
      </c>
      <c r="K47" s="245">
        <f t="shared" si="8"/>
        <v>63716.468000000001</v>
      </c>
      <c r="L47" s="245">
        <f t="shared" si="9"/>
        <v>53824.024000000005</v>
      </c>
      <c r="M47" s="241">
        <f t="shared" si="10"/>
        <v>512043.71600000001</v>
      </c>
      <c r="N47" s="247">
        <f t="shared" si="11"/>
        <v>156685</v>
      </c>
      <c r="O47" s="248">
        <f t="shared" si="12"/>
        <v>230420</v>
      </c>
      <c r="P47" s="248">
        <f t="shared" si="13"/>
        <v>116746</v>
      </c>
      <c r="Q47" s="248">
        <f t="shared" si="14"/>
        <v>122890</v>
      </c>
      <c r="R47" s="249">
        <f t="shared" si="15"/>
        <v>470056</v>
      </c>
    </row>
    <row r="48" spans="1:18" x14ac:dyDescent="0.25">
      <c r="A48" s="224">
        <v>16</v>
      </c>
      <c r="B48" s="245">
        <f t="shared" si="1"/>
        <v>257664.08800000002</v>
      </c>
      <c r="C48" s="245">
        <f t="shared" si="2"/>
        <v>114095.664</v>
      </c>
      <c r="D48" s="245">
        <f t="shared" si="3"/>
        <v>1957</v>
      </c>
      <c r="E48" s="246">
        <f t="shared" si="4"/>
        <v>2446</v>
      </c>
      <c r="F48" s="246">
        <f t="shared" si="5"/>
        <v>2936</v>
      </c>
      <c r="H48" s="224">
        <v>16</v>
      </c>
      <c r="I48" s="245">
        <f t="shared" si="6"/>
        <v>257664.08800000002</v>
      </c>
      <c r="J48" s="245">
        <f t="shared" si="7"/>
        <v>114095.664</v>
      </c>
      <c r="K48" s="245">
        <f t="shared" si="8"/>
        <v>67129.428</v>
      </c>
      <c r="L48" s="245">
        <f t="shared" si="9"/>
        <v>53824.024000000005</v>
      </c>
      <c r="M48" s="241">
        <f t="shared" si="10"/>
        <v>492713.20400000003</v>
      </c>
      <c r="N48" s="247">
        <f t="shared" si="11"/>
        <v>150770</v>
      </c>
      <c r="O48" s="248">
        <f t="shared" si="12"/>
        <v>221721</v>
      </c>
      <c r="P48" s="248">
        <f t="shared" si="13"/>
        <v>112339</v>
      </c>
      <c r="Q48" s="248">
        <f t="shared" si="14"/>
        <v>118251</v>
      </c>
      <c r="R48" s="249">
        <f t="shared" si="15"/>
        <v>452311</v>
      </c>
    </row>
    <row r="49" spans="1:18" x14ac:dyDescent="0.25">
      <c r="A49" s="224">
        <v>17</v>
      </c>
      <c r="B49" s="245">
        <f t="shared" si="1"/>
        <v>238586.46400000001</v>
      </c>
      <c r="C49" s="245">
        <f t="shared" si="2"/>
        <v>88214.736000000004</v>
      </c>
      <c r="D49" s="245">
        <f t="shared" si="3"/>
        <v>1720</v>
      </c>
      <c r="E49" s="246">
        <f t="shared" si="4"/>
        <v>2150</v>
      </c>
      <c r="F49" s="246">
        <f t="shared" si="5"/>
        <v>2580</v>
      </c>
      <c r="H49" s="224">
        <v>17</v>
      </c>
      <c r="I49" s="245">
        <f t="shared" si="6"/>
        <v>238586.46400000001</v>
      </c>
      <c r="J49" s="245">
        <f t="shared" si="7"/>
        <v>88214.736000000004</v>
      </c>
      <c r="K49" s="245">
        <f t="shared" si="8"/>
        <v>62452.027999999998</v>
      </c>
      <c r="L49" s="245">
        <f t="shared" si="9"/>
        <v>53824.024000000005</v>
      </c>
      <c r="M49" s="241">
        <f t="shared" si="10"/>
        <v>443077.25199999998</v>
      </c>
      <c r="N49" s="247">
        <f t="shared" si="11"/>
        <v>135582</v>
      </c>
      <c r="O49" s="248">
        <f t="shared" si="12"/>
        <v>199385</v>
      </c>
      <c r="P49" s="248">
        <f t="shared" si="13"/>
        <v>101022</v>
      </c>
      <c r="Q49" s="248">
        <f t="shared" si="14"/>
        <v>106339</v>
      </c>
      <c r="R49" s="249">
        <f t="shared" si="15"/>
        <v>406746</v>
      </c>
    </row>
    <row r="50" spans="1:18" x14ac:dyDescent="0.25">
      <c r="A50" s="224">
        <v>18</v>
      </c>
      <c r="B50" s="245">
        <f t="shared" si="1"/>
        <v>220918.228</v>
      </c>
      <c r="C50" s="245">
        <f t="shared" si="2"/>
        <v>85430.911999999997</v>
      </c>
      <c r="D50" s="245">
        <f t="shared" si="3"/>
        <v>1612</v>
      </c>
      <c r="E50" s="246">
        <f t="shared" si="4"/>
        <v>2015</v>
      </c>
      <c r="F50" s="246">
        <f t="shared" si="5"/>
        <v>2418</v>
      </c>
      <c r="H50" s="224">
        <v>18</v>
      </c>
      <c r="I50" s="245">
        <f t="shared" si="6"/>
        <v>220918.228</v>
      </c>
      <c r="J50" s="245">
        <f t="shared" si="7"/>
        <v>85430.911999999997</v>
      </c>
      <c r="K50" s="245">
        <f t="shared" si="8"/>
        <v>62452.027999999998</v>
      </c>
      <c r="L50" s="245">
        <f t="shared" si="9"/>
        <v>53824.024000000005</v>
      </c>
      <c r="M50" s="241">
        <f t="shared" si="10"/>
        <v>422625.19200000004</v>
      </c>
      <c r="N50" s="247">
        <f t="shared" si="11"/>
        <v>129323</v>
      </c>
      <c r="O50" s="248">
        <f t="shared" si="12"/>
        <v>190181</v>
      </c>
      <c r="P50" s="248">
        <f t="shared" si="13"/>
        <v>96359</v>
      </c>
      <c r="Q50" s="248">
        <f t="shared" si="14"/>
        <v>101430</v>
      </c>
      <c r="R50" s="249">
        <f t="shared" si="15"/>
        <v>387970</v>
      </c>
    </row>
    <row r="51" spans="1:18" x14ac:dyDescent="0.25">
      <c r="A51" s="224">
        <v>19</v>
      </c>
      <c r="B51" s="245">
        <f t="shared" si="1"/>
        <v>206470.71600000001</v>
      </c>
      <c r="C51" s="245">
        <f t="shared" si="2"/>
        <v>93438.004000000001</v>
      </c>
      <c r="D51" s="245">
        <f t="shared" si="3"/>
        <v>1578</v>
      </c>
      <c r="E51" s="246">
        <f t="shared" si="4"/>
        <v>1973</v>
      </c>
      <c r="F51" s="246">
        <f t="shared" si="5"/>
        <v>2367</v>
      </c>
      <c r="H51" s="224">
        <v>19</v>
      </c>
      <c r="I51" s="245">
        <f t="shared" si="6"/>
        <v>206470.71600000001</v>
      </c>
      <c r="J51" s="245">
        <f t="shared" si="7"/>
        <v>93438.004000000001</v>
      </c>
      <c r="K51" s="245">
        <f t="shared" si="8"/>
        <v>65095.016000000003</v>
      </c>
      <c r="L51" s="245">
        <f t="shared" si="9"/>
        <v>53824.024000000005</v>
      </c>
      <c r="M51" s="241">
        <f t="shared" si="10"/>
        <v>418827.76</v>
      </c>
      <c r="N51" s="247">
        <f t="shared" si="11"/>
        <v>128161</v>
      </c>
      <c r="O51" s="248">
        <f t="shared" si="12"/>
        <v>188472</v>
      </c>
      <c r="P51" s="248">
        <f t="shared" si="13"/>
        <v>95493</v>
      </c>
      <c r="Q51" s="248">
        <f t="shared" si="14"/>
        <v>100519</v>
      </c>
      <c r="R51" s="249">
        <f t="shared" si="15"/>
        <v>384484</v>
      </c>
    </row>
    <row r="52" spans="1:18" x14ac:dyDescent="0.25">
      <c r="A52" s="224">
        <v>20</v>
      </c>
      <c r="B52" s="245">
        <f t="shared" si="1"/>
        <v>192973.076</v>
      </c>
      <c r="C52" s="245">
        <f t="shared" si="2"/>
        <v>73601.716</v>
      </c>
      <c r="D52" s="245">
        <f t="shared" si="3"/>
        <v>1403</v>
      </c>
      <c r="E52" s="246">
        <f t="shared" si="4"/>
        <v>1754</v>
      </c>
      <c r="F52" s="246">
        <f t="shared" si="5"/>
        <v>2105</v>
      </c>
      <c r="H52" s="224">
        <v>20</v>
      </c>
      <c r="I52" s="245">
        <f t="shared" si="6"/>
        <v>192973.076</v>
      </c>
      <c r="J52" s="245">
        <f t="shared" si="7"/>
        <v>73601.716</v>
      </c>
      <c r="K52" s="245">
        <f t="shared" si="8"/>
        <v>62538.380000000005</v>
      </c>
      <c r="L52" s="245">
        <f t="shared" si="9"/>
        <v>53824.024000000005</v>
      </c>
      <c r="M52" s="241">
        <f t="shared" si="10"/>
        <v>382937.196</v>
      </c>
      <c r="N52" s="247">
        <f t="shared" si="11"/>
        <v>117179</v>
      </c>
      <c r="O52" s="248">
        <f t="shared" si="12"/>
        <v>172322</v>
      </c>
      <c r="P52" s="248">
        <f t="shared" si="13"/>
        <v>87310</v>
      </c>
      <c r="Q52" s="248">
        <f t="shared" si="14"/>
        <v>91905</v>
      </c>
      <c r="R52" s="249">
        <f t="shared" si="15"/>
        <v>351537</v>
      </c>
    </row>
  </sheetData>
  <autoFilter ref="B3:Q23" xr:uid="{00000000-0009-0000-0000-000006000000}"/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3.937007874015748E-2" right="3.937007874015748E-2" top="0.15748031496062992" bottom="0.15748031496062992" header="0.31496062992125984" footer="0.31496062992125984"/>
  <pageSetup paperSize="300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CP5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4" sqref="C24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10" style="220" customWidth="1"/>
    <col min="5" max="5" width="13.5703125" style="220" bestFit="1" customWidth="1"/>
    <col min="6" max="6" width="8" style="220" customWidth="1"/>
    <col min="7" max="7" width="16.42578125" style="220" customWidth="1"/>
    <col min="8" max="8" width="13.42578125" style="220" customWidth="1"/>
    <col min="9" max="9" width="12.42578125" style="220" customWidth="1"/>
    <col min="10" max="10" width="12.5703125" style="220" bestFit="1" customWidth="1"/>
    <col min="11" max="11" width="15.85546875" style="220" hidden="1" customWidth="1"/>
    <col min="12" max="12" width="13.7109375" style="220" hidden="1" customWidth="1"/>
    <col min="13" max="13" width="14.140625" style="220" hidden="1" customWidth="1"/>
    <col min="14" max="14" width="13.7109375" style="220" hidden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18" width="11.5703125" style="220" bestFit="1" customWidth="1"/>
    <col min="19" max="19" width="12.7109375" style="220" customWidth="1"/>
    <col min="20" max="20" width="11.5703125" style="220" bestFit="1" customWidth="1"/>
    <col min="21" max="16384" width="11.42578125" style="220"/>
  </cols>
  <sheetData>
    <row r="1" spans="1:94" s="219" customFormat="1" ht="30.75" customHeight="1" x14ac:dyDescent="0.25">
      <c r="A1" s="259">
        <v>1.008</v>
      </c>
      <c r="B1" s="255">
        <v>1.0269999999999999</v>
      </c>
      <c r="C1" s="346" t="s">
        <v>77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94" x14ac:dyDescent="0.25">
      <c r="A2" s="220"/>
      <c r="B2" s="221"/>
      <c r="O2" s="220"/>
      <c r="P2" s="222"/>
    </row>
    <row r="3" spans="1:94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78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53" t="s">
        <v>70</v>
      </c>
    </row>
    <row r="4" spans="1:94" x14ac:dyDescent="0.25">
      <c r="A4" s="220"/>
      <c r="B4" s="251">
        <v>1</v>
      </c>
      <c r="C4" s="260">
        <f>+'EUS 2020'!C4*'EUS 2021'!$A$1-1</f>
        <v>664271.63302399998</v>
      </c>
      <c r="D4" s="240">
        <f>+'EUS 2020'!D4*'EUS 2021'!$A$1</f>
        <v>142818.68764800002</v>
      </c>
      <c r="E4" s="260">
        <f>+'EUS 2020'!E4*'EUS 2021'!$A$1+1</f>
        <v>2467197.4320640001</v>
      </c>
      <c r="F4" s="240">
        <f>+'EUS 2020'!F4*'EUS 2021'!$A$1</f>
        <v>185995.764864</v>
      </c>
      <c r="G4" s="240">
        <f>+'EUS 2020'!G4*'EUS 2021'!$A$1-1</f>
        <v>220515.57555199999</v>
      </c>
      <c r="H4" s="260">
        <f>+'EUS 2020'!H4*'EUS 2021'!$A$1</f>
        <v>20535.252192</v>
      </c>
      <c r="I4" s="240">
        <f>+'EUS 2020'!I4*'EUS 2021'!$A$1</f>
        <v>99897.138432000007</v>
      </c>
      <c r="J4" s="260">
        <f>+'EUS 2020'!J4*'EUS 2021'!$A$1</f>
        <v>0</v>
      </c>
      <c r="K4" s="240">
        <f>+'EUS 2020'!K4*'EUS 2021'!$A$1</f>
        <v>664272.63302399998</v>
      </c>
      <c r="L4" s="240">
        <f>+'EUS 2020'!L4*'EUS 2021'!$A$1</f>
        <v>2467196.4320640001</v>
      </c>
      <c r="M4" s="240">
        <f>+'EUS 2020'!M4*'EUS 2021'!$A$1</f>
        <v>0</v>
      </c>
      <c r="N4" s="240">
        <f>+'EUS 2020'!N4*'EUS 2021'!$A$1</f>
        <v>0</v>
      </c>
      <c r="O4" s="260">
        <f>+'EUS 2020'!O4*'EUS 2021'!$A$1</f>
        <v>0</v>
      </c>
      <c r="P4" s="254">
        <f>+'EUS 2020'!P4*'EUS 2021'!$A$1</f>
        <v>6932701.5488640014</v>
      </c>
      <c r="Q4" s="260">
        <f>+'EUS 2020'!Q4*'EUS 2021'!$A$1</f>
        <v>0</v>
      </c>
      <c r="R4" s="222"/>
      <c r="S4" s="243"/>
    </row>
    <row r="5" spans="1:94" x14ac:dyDescent="0.25">
      <c r="A5" s="220"/>
      <c r="B5" s="251">
        <v>2</v>
      </c>
      <c r="C5" s="260">
        <f>+'EUS 2020'!C5*'EUS 2021'!$A$1</f>
        <v>626965.54502399999</v>
      </c>
      <c r="D5" s="240">
        <f>+'EUS 2020'!D5*'EUS 2021'!$A$1</f>
        <v>134798.174784</v>
      </c>
      <c r="E5" s="260">
        <f>+'EUS 2020'!E5*'EUS 2021'!$A$1</f>
        <v>2360389.8165120003</v>
      </c>
      <c r="F5" s="240">
        <f>+'EUS 2020'!F5*'EUS 2021'!$A$1</f>
        <v>175549.78022399999</v>
      </c>
      <c r="G5" s="240">
        <f>+'EUS 2020'!G5*'EUS 2021'!$A$1</f>
        <v>226610.40729600002</v>
      </c>
      <c r="H5" s="260">
        <f>+'EUS 2020'!H5*'EUS 2021'!$A$1</f>
        <v>20535.252192</v>
      </c>
      <c r="I5" s="240">
        <f>+'EUS 2020'!I5*'EUS 2021'!$A$1</f>
        <v>103058.53084799999</v>
      </c>
      <c r="J5" s="260">
        <f>+'EUS 2020'!J5*'EUS 2021'!$A$1</f>
        <v>0</v>
      </c>
      <c r="K5" s="240">
        <f>+'EUS 2020'!K5*'EUS 2021'!$A$1</f>
        <v>0</v>
      </c>
      <c r="L5" s="240">
        <f>+'EUS 2020'!L5*'EUS 2021'!$A$1</f>
        <v>0</v>
      </c>
      <c r="M5" s="240">
        <f>+'EUS 2020'!M5*'EUS 2021'!$A$1</f>
        <v>0</v>
      </c>
      <c r="N5" s="240">
        <f>+'EUS 2020'!N5*'EUS 2021'!$A$1</f>
        <v>0</v>
      </c>
      <c r="O5" s="260">
        <f>+'EUS 2020'!O5*'EUS 2021'!$A$1</f>
        <v>0</v>
      </c>
      <c r="P5" s="254">
        <f>+'EUS 2020'!P5*'EUS 2021'!$A$1</f>
        <v>3647907.5068800002</v>
      </c>
      <c r="Q5" s="260">
        <f>+'EUS 2020'!Q5*'EUS 2021'!$A$1</f>
        <v>0</v>
      </c>
      <c r="R5" s="222"/>
      <c r="S5" s="243"/>
    </row>
    <row r="6" spans="1:94" x14ac:dyDescent="0.25">
      <c r="A6" s="220"/>
      <c r="B6" s="251">
        <v>3</v>
      </c>
      <c r="C6" s="260">
        <f>+'EUS 2020'!C6*'EUS 2021'!$A$1-1</f>
        <v>661972.90313600004</v>
      </c>
      <c r="D6" s="240">
        <f>+'EUS 2020'!D6*'EUS 2021'!$A$1</f>
        <v>142323.98543999999</v>
      </c>
      <c r="E6" s="260">
        <f>+'EUS 2020'!E6*'EUS 2021'!$A$1</f>
        <v>1946380.2845759999</v>
      </c>
      <c r="F6" s="240">
        <f>+'EUS 2020'!F6*'EUS 2021'!$A$1</f>
        <v>185352.856416</v>
      </c>
      <c r="G6" s="240">
        <f>+'EUS 2020'!G6*'EUS 2021'!$A$1-1</f>
        <v>227446.517024</v>
      </c>
      <c r="H6" s="260">
        <f>+'EUS 2020'!H6*'EUS 2021'!$A$1</f>
        <v>20535.252192</v>
      </c>
      <c r="I6" s="240">
        <f>+'EUS 2020'!I6*'EUS 2021'!$A$1</f>
        <v>103472.486208</v>
      </c>
      <c r="J6" s="260">
        <f>+'EUS 2020'!J6*'EUS 2021'!$A$1+1</f>
        <v>28169.384608</v>
      </c>
      <c r="K6" s="240">
        <f>+'EUS 2020'!K6*'EUS 2021'!$A$1</f>
        <v>0</v>
      </c>
      <c r="L6" s="240">
        <f>+'EUS 2020'!L6*'EUS 2021'!$A$1</f>
        <v>0</v>
      </c>
      <c r="M6" s="240">
        <f>+'EUS 2020'!M6*'EUS 2021'!$A$1</f>
        <v>782506.4607360001</v>
      </c>
      <c r="N6" s="240">
        <f>+'EUS 2020'!N6*'EUS 2021'!$A$1</f>
        <v>521670.63312000001</v>
      </c>
      <c r="O6" s="260">
        <f>+'EUS 2020'!O6*'EUS 2021'!$A$1</f>
        <v>529582.80211199995</v>
      </c>
      <c r="P6" s="254">
        <f>+'EUS 2020'!P6*'EUS 2021'!$A$1</f>
        <v>5149414.5655680001</v>
      </c>
      <c r="Q6" s="260">
        <f>+'EUS 2020'!Q6*'EUS 2021'!$A$1+2</f>
        <v>264793.40105599997</v>
      </c>
      <c r="R6" s="222"/>
      <c r="S6" s="243"/>
    </row>
    <row r="7" spans="1:94" x14ac:dyDescent="0.25">
      <c r="A7" s="220"/>
      <c r="B7" s="251">
        <v>4</v>
      </c>
      <c r="C7" s="260">
        <f>+'EUS 2020'!C7*'EUS 2021'!$A$1</f>
        <v>624519.631008</v>
      </c>
      <c r="D7" s="240">
        <f>+'EUS 2020'!D7*'EUS 2021'!$A$1</f>
        <v>134271.78710400002</v>
      </c>
      <c r="E7" s="260">
        <f>+'EUS 2020'!E7*'EUS 2021'!$A$1+1</f>
        <v>1888413.2246080001</v>
      </c>
      <c r="F7" s="240">
        <f>+'EUS 2020'!F7*'EUS 2021'!$A$1</f>
        <v>174867.00940800001</v>
      </c>
      <c r="G7" s="240">
        <f>+'EUS 2020'!G7*'EUS 2021'!$A$1</f>
        <v>232737.96873600001</v>
      </c>
      <c r="H7" s="260">
        <f>+'EUS 2020'!H7*'EUS 2021'!$A$1</f>
        <v>20535.252192</v>
      </c>
      <c r="I7" s="240">
        <f>+'EUS 2020'!I7*'EUS 2021'!$A$1+1</f>
        <v>106205.59158400001</v>
      </c>
      <c r="J7" s="260">
        <f>+'EUS 2020'!J7*'EUS 2021'!$A$1+1</f>
        <v>28169.384608</v>
      </c>
      <c r="K7" s="240">
        <f>+'EUS 2020'!K7*'EUS 2021'!$A$1</f>
        <v>0</v>
      </c>
      <c r="L7" s="240">
        <f>+'EUS 2020'!L7*'EUS 2021'!$A$1</f>
        <v>0</v>
      </c>
      <c r="M7" s="240">
        <f>+'EUS 2020'!M7*'EUS 2021'!$A$1</f>
        <v>0</v>
      </c>
      <c r="N7" s="240">
        <f>+'EUS 2020'!N7*'EUS 2021'!$A$1</f>
        <v>0</v>
      </c>
      <c r="O7" s="260">
        <f>+'EUS 2020'!O7*'EUS 2021'!$A$1+1</f>
        <v>499612.41193600005</v>
      </c>
      <c r="P7" s="254">
        <f>+'EUS 2020'!P7*'EUS 2021'!$A$1</f>
        <v>3709328.2611840004</v>
      </c>
      <c r="Q7" s="260">
        <f>+'EUS 2020'!Q7*'EUS 2021'!$A$1</f>
        <v>249806.21702400001</v>
      </c>
      <c r="R7" s="222"/>
      <c r="S7" s="243"/>
    </row>
    <row r="8" spans="1:94" x14ac:dyDescent="0.25">
      <c r="A8" s="220"/>
      <c r="B8" s="251">
        <v>5</v>
      </c>
      <c r="C8" s="260">
        <f>+'EUS 2020'!C8*'EUS 2021'!$A$1-1</f>
        <v>589191.37395200005</v>
      </c>
      <c r="D8" s="240">
        <f>+'EUS 2020'!D8*'EUS 2021'!$A$1</f>
        <v>126675.45071999999</v>
      </c>
      <c r="E8" s="260">
        <f>+'EUS 2020'!E8*'EUS 2021'!$A$1-1</f>
        <v>1623046.4187200002</v>
      </c>
      <c r="F8" s="240">
        <f>+'EUS 2020'!F8*'EUS 2021'!$A$1</f>
        <v>164973.98736000003</v>
      </c>
      <c r="G8" s="240">
        <f>+'EUS 2020'!G8*'EUS 2021'!$A$1</f>
        <v>238049.8848</v>
      </c>
      <c r="H8" s="260">
        <f>+'EUS 2020'!H8*'EUS 2021'!$A$1</f>
        <v>20535.252192</v>
      </c>
      <c r="I8" s="240">
        <f>+'EUS 2020'!I8*'EUS 2021'!$A$1+1</f>
        <v>108984.714112</v>
      </c>
      <c r="J8" s="260">
        <f>+'EUS 2020'!J8*'EUS 2021'!$A$1+1</f>
        <v>28169.384608</v>
      </c>
      <c r="K8" s="240">
        <f>+'EUS 2020'!K8*'EUS 2021'!$A$1</f>
        <v>0</v>
      </c>
      <c r="L8" s="240">
        <f>+'EUS 2020'!L8*'EUS 2021'!$A$1</f>
        <v>0</v>
      </c>
      <c r="M8" s="240">
        <f>+'EUS 2020'!M8*'EUS 2021'!$A$1</f>
        <v>0</v>
      </c>
      <c r="N8" s="240">
        <f>+'EUS 2020'!N8*'EUS 2021'!$A$1</f>
        <v>0</v>
      </c>
      <c r="O8" s="260">
        <f>+'EUS 2020'!O8*'EUS 2021'!$A$1</f>
        <v>497993.40864000004</v>
      </c>
      <c r="P8" s="254">
        <f>+'EUS 2020'!P8*'EUS 2021'!$A$1</f>
        <v>3397619.8751040003</v>
      </c>
      <c r="Q8" s="260">
        <f>+'EUS 2020'!Q8*'EUS 2021'!$A$1</f>
        <v>248996.70432000002</v>
      </c>
      <c r="R8" s="222"/>
      <c r="S8" s="243"/>
    </row>
    <row r="9" spans="1:94" x14ac:dyDescent="0.25">
      <c r="A9" s="220"/>
      <c r="B9" s="251">
        <v>6</v>
      </c>
      <c r="C9" s="248">
        <f>+'EUS 2020'!C9*'EUS 2021'!$A$1-1</f>
        <v>555796.93068800005</v>
      </c>
      <c r="D9" s="240">
        <f>+'EUS 2020'!D9*'EUS 2021'!$A$1</f>
        <v>119497.158144</v>
      </c>
      <c r="E9" s="248">
        <f>+'EUS 2020'!E9*'EUS 2021'!$A$1+3</f>
        <v>1371601.667712</v>
      </c>
      <c r="F9" s="240">
        <f>+'EUS 2020'!F9*'EUS 2021'!$A$1</f>
        <v>155622.684672</v>
      </c>
      <c r="G9" s="240">
        <f>+'EUS 2020'!G9*'EUS 2021'!$A$1+1</f>
        <v>266085.37273599999</v>
      </c>
      <c r="H9" s="248">
        <f>+'EUS 2020'!H9*'EUS 2021'!$A$1-1</f>
        <v>20534.252192</v>
      </c>
      <c r="I9" s="240">
        <f>+'EUS 2020'!I9*'EUS 2021'!$A$1</f>
        <v>101399.64307200001</v>
      </c>
      <c r="J9" s="249">
        <v>32454</v>
      </c>
      <c r="K9" s="240">
        <f>+'EUS 2020'!K9*'EUS 2021'!$A$1</f>
        <v>0</v>
      </c>
      <c r="L9" s="240">
        <f>+'EUS 2020'!L9*'EUS 2021'!$A$1</f>
        <v>0</v>
      </c>
      <c r="M9" s="240">
        <f>+'EUS 2020'!M9*'EUS 2021'!$A$1</f>
        <v>0</v>
      </c>
      <c r="N9" s="240">
        <f>+'EUS 2020'!N9*'EUS 2021'!$A$1</f>
        <v>0</v>
      </c>
      <c r="O9" s="248">
        <f>+'EUS 2020'!O9*'EUS 2021'!$A$1</f>
        <v>444633.029568</v>
      </c>
      <c r="P9" s="254">
        <f>+'EUS 2020'!P9*'EUS 2021'!$A$1</f>
        <v>3067561.5122880004</v>
      </c>
      <c r="Q9" s="260">
        <f>+'EUS 2020'!Q9*'EUS 2021'!$A$1-1</f>
        <v>222315.514784</v>
      </c>
      <c r="R9" s="222"/>
      <c r="S9" s="243"/>
    </row>
    <row r="10" spans="1:94" x14ac:dyDescent="0.25">
      <c r="A10" s="222"/>
      <c r="B10" s="251">
        <v>7</v>
      </c>
      <c r="C10" s="260">
        <f>+'EUS 2020'!C10*'EUS 2021'!$A$1+1</f>
        <v>519382.37439999997</v>
      </c>
      <c r="D10" s="240">
        <f>+'EUS 2020'!D10*'EUS 2021'!$A$1</f>
        <v>111667.64313600001</v>
      </c>
      <c r="E10" s="260">
        <f>+'EUS 2020'!E10*'EUS 2021'!$A$1</f>
        <v>1042799.8775040001</v>
      </c>
      <c r="F10" s="240">
        <f>+'EUS 2020'!F10*'EUS 2021'!$A$1</f>
        <v>145426.784832</v>
      </c>
      <c r="G10" s="240">
        <f>+'EUS 2020'!G10*'EUS 2021'!$A$1-1</f>
        <v>186016.75136000002</v>
      </c>
      <c r="H10" s="260">
        <f>+'EUS 2020'!H10*'EUS 2021'!$A$1</f>
        <v>20818.776384000001</v>
      </c>
      <c r="I10" s="240">
        <f>+'EUS 2020'!I10*'EUS 2021'!$A$1</f>
        <v>76668.141312000007</v>
      </c>
      <c r="J10" s="260">
        <f>+'EUS 2020'!J10*'EUS 2021'!$A$1</f>
        <v>32840.011008000001</v>
      </c>
      <c r="K10" s="240">
        <f>+'EUS 2020'!K10*'EUS 2021'!$A$1</f>
        <v>0</v>
      </c>
      <c r="L10" s="240">
        <f>+'EUS 2020'!L10*'EUS 2021'!$A$1</f>
        <v>0</v>
      </c>
      <c r="M10" s="240">
        <f>+'EUS 2020'!M10*'EUS 2021'!$A$1</f>
        <v>0</v>
      </c>
      <c r="N10" s="240">
        <f>+'EUS 2020'!N10*'EUS 2021'!$A$1</f>
        <v>0</v>
      </c>
      <c r="O10" s="260">
        <f>+'EUS 2020'!O10*'EUS 2021'!$A$1-1</f>
        <v>411313.60966399999</v>
      </c>
      <c r="P10" s="254">
        <f>+'EUS 2020'!P10*'EUS 2021'!$A$1</f>
        <v>2546934.9696000004</v>
      </c>
      <c r="Q10" s="260">
        <f>+'EUS 2020'!Q10*'EUS 2021'!$A$1</f>
        <v>205657.30483199999</v>
      </c>
      <c r="R10" s="222"/>
      <c r="S10" s="243"/>
    </row>
    <row r="11" spans="1:94" x14ac:dyDescent="0.25">
      <c r="A11" s="220"/>
      <c r="B11" s="251">
        <v>8</v>
      </c>
      <c r="C11" s="260">
        <f>+'EUS 2020'!C11*'EUS 2021'!$B$1+1</f>
        <v>489931.962092</v>
      </c>
      <c r="D11" s="240">
        <f>+'EUS 2020'!D11*'EUS 2021'!$B$1</f>
        <v>105334.887632</v>
      </c>
      <c r="E11" s="260">
        <f>+'EUS 2020'!E11*'EUS 2021'!$B$1</f>
        <v>815745.70973999996</v>
      </c>
      <c r="F11" s="240">
        <f>+'EUS 2020'!F11*'EUS 2021'!$B$1</f>
        <v>137180.71161600002</v>
      </c>
      <c r="G11" s="240">
        <f>+'EUS 2020'!G11*'EUS 2021'!$B$1</f>
        <v>144559.39029999997</v>
      </c>
      <c r="H11" s="260">
        <f>+'EUS 2020'!H11*'EUS 2021'!$B$1</f>
        <v>21211.193795999996</v>
      </c>
      <c r="I11" s="240">
        <f>+'EUS 2020'!I11*'EUS 2021'!$B$1+1</f>
        <v>59599.481955999996</v>
      </c>
      <c r="J11" s="260">
        <f>+'EUS 2020'!J11*'EUS 2021'!$B$1</f>
        <v>33459.019152000001</v>
      </c>
      <c r="K11" s="240">
        <f>+'EUS 2020'!K11*'EUS 2021'!$A$1</f>
        <v>0</v>
      </c>
      <c r="L11" s="240">
        <f>+'EUS 2020'!L11*'EUS 2021'!$A$1</f>
        <v>0</v>
      </c>
      <c r="M11" s="240">
        <f>+'EUS 2020'!M11*'EUS 2021'!$A$1</f>
        <v>0</v>
      </c>
      <c r="N11" s="240">
        <f>+'EUS 2020'!N11*'EUS 2021'!$A$1</f>
        <v>0</v>
      </c>
      <c r="O11" s="260">
        <f>+'EUS 2020'!O11*'EUS 2021'!$B$1</f>
        <v>375855.47053599998</v>
      </c>
      <c r="P11" s="254">
        <f>+'EUS 2020'!P11*'EUS 2021'!$A$1</f>
        <v>2142491.5612799996</v>
      </c>
      <c r="Q11" s="260">
        <f>+'EUS 2020'!Q11*'EUS 2021'!$B$1</f>
        <v>187927.73526799999</v>
      </c>
      <c r="R11" s="222"/>
      <c r="S11" s="243"/>
    </row>
    <row r="12" spans="1:94" x14ac:dyDescent="0.25">
      <c r="A12" s="220"/>
      <c r="B12" s="251">
        <v>9</v>
      </c>
      <c r="C12" s="260">
        <f>+'EUS 2020'!C12*'EUS 2021'!$B$1</f>
        <v>453596.06359600002</v>
      </c>
      <c r="D12" s="240">
        <f>+'EUS 2020'!D12*'EUS 2021'!$B$1</f>
        <v>97523.348987999998</v>
      </c>
      <c r="E12" s="260">
        <f>+'EUS 2020'!E12*'EUS 2021'!$B$1+1</f>
        <v>626803.33719999995</v>
      </c>
      <c r="F12" s="240">
        <f>+'EUS 2020'!F12*'EUS 2021'!$B$1</f>
        <v>127006.39104399999</v>
      </c>
      <c r="G12" s="240">
        <f>+'EUS 2020'!G12*'EUS 2021'!$B$1+1</f>
        <v>110213.480352</v>
      </c>
      <c r="H12" s="260">
        <f>+'EUS 2020'!H12*'EUS 2021'!$B$1+1</f>
        <v>21212.193795999996</v>
      </c>
      <c r="I12" s="240">
        <f>+'EUS 2020'!I12*'EUS 2021'!$B$1</f>
        <v>45430.236435999999</v>
      </c>
      <c r="J12" s="260">
        <f>+'EUS 2020'!J12*'EUS 2021'!$B$1</f>
        <v>33459.019152000001</v>
      </c>
      <c r="K12" s="240">
        <f>+'EUS 2020'!K12*'EUS 2021'!$B$1</f>
        <v>0</v>
      </c>
      <c r="L12" s="240">
        <f>+'EUS 2020'!L12*'EUS 2021'!$B$1</f>
        <v>0</v>
      </c>
      <c r="M12" s="240">
        <f>+'EUS 2020'!M12*'EUS 2021'!$B$1</f>
        <v>0</v>
      </c>
      <c r="N12" s="240">
        <f>+'EUS 2020'!N12*'EUS 2021'!$B$1</f>
        <v>0</v>
      </c>
      <c r="O12" s="260">
        <f>+'EUS 2020'!O12*'EUS 2021'!$B$1</f>
        <v>340132.91051999998</v>
      </c>
      <c r="P12" s="254">
        <f>+'EUS 2020'!P12*'EUS 2021'!$B$1</f>
        <v>1855373.9810839999</v>
      </c>
      <c r="Q12" s="260">
        <f>+'EUS 2020'!Q12*'EUS 2021'!$B$1-1</f>
        <v>170065.45525999999</v>
      </c>
      <c r="R12" s="222"/>
      <c r="S12" s="243"/>
    </row>
    <row r="13" spans="1:94" s="256" customFormat="1" x14ac:dyDescent="0.25">
      <c r="A13" s="220"/>
      <c r="B13" s="251">
        <v>10</v>
      </c>
      <c r="C13" s="260">
        <f>+'EUS 2020'!C13*'EUS 2021'!$B$1+1</f>
        <v>420027.19006399997</v>
      </c>
      <c r="D13" s="240">
        <f>+'EUS 2020'!D13*'EUS 2021'!$B$1</f>
        <v>90305.14521599999</v>
      </c>
      <c r="E13" s="260">
        <f>+'EUS 2020'!E13*'EUS 2021'!$B$1+1</f>
        <v>473793.67587599996</v>
      </c>
      <c r="F13" s="240">
        <f>+'EUS 2020'!F13*'EUS 2021'!$B$1</f>
        <v>117606.99537599999</v>
      </c>
      <c r="G13" s="240">
        <f>+'EUS 2020'!G13*'EUS 2021'!$B$1</f>
        <v>82367.971607999993</v>
      </c>
      <c r="H13" s="260">
        <f>+'EUS 2020'!H13*'EUS 2021'!$B$1+1</f>
        <v>21212.193795999996</v>
      </c>
      <c r="I13" s="240">
        <f>+'EUS 2020'!I13*'EUS 2021'!$B$1-1</f>
        <v>33976.395347999998</v>
      </c>
      <c r="J13" s="260">
        <f>+'EUS 2020'!J13*'EUS 2021'!$B$1</f>
        <v>33459.019152000001</v>
      </c>
      <c r="K13" s="240">
        <f>+'EUS 2020'!K13*'EUS 2021'!$B$1</f>
        <v>0</v>
      </c>
      <c r="L13" s="240">
        <f>+'EUS 2020'!L13*'EUS 2021'!$B$1</f>
        <v>0</v>
      </c>
      <c r="M13" s="240">
        <f>+'EUS 2020'!M13*'EUS 2021'!$B$1</f>
        <v>0</v>
      </c>
      <c r="N13" s="240">
        <f>+'EUS 2020'!N13*'EUS 2021'!$B$1</f>
        <v>0</v>
      </c>
      <c r="O13" s="260">
        <f>+'EUS 2020'!O13*'EUS 2021'!$B$1-1</f>
        <v>307807.82906799996</v>
      </c>
      <c r="P13" s="254">
        <f>+'EUS 2020'!P13*'EUS 2021'!$B$1</f>
        <v>1580555.4155039999</v>
      </c>
      <c r="Q13" s="260">
        <f>+'EUS 2020'!Q13*'EUS 2021'!$B$1+1</f>
        <v>153904.88665599999</v>
      </c>
      <c r="R13" s="222"/>
      <c r="S13" s="243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  <c r="CO13" s="220"/>
      <c r="CP13" s="220"/>
    </row>
    <row r="14" spans="1:94" x14ac:dyDescent="0.25">
      <c r="A14" s="220"/>
      <c r="B14" s="251">
        <v>11</v>
      </c>
      <c r="C14" s="260">
        <f>+'EUS 2020'!C14*'EUS 2021'!$B$1+1</f>
        <v>388940.45464399998</v>
      </c>
      <c r="D14" s="240">
        <f>+'EUS 2020'!D14*'EUS 2021'!$B$1</f>
        <v>83621.153980000003</v>
      </c>
      <c r="E14" s="260">
        <f>+'EUS 2020'!E14*'EUS 2021'!$B$1</f>
        <v>358003.69233200001</v>
      </c>
      <c r="F14" s="240">
        <f>+'EUS 2020'!F14*'EUS 2021'!$B$1</f>
        <v>108903.34291199999</v>
      </c>
      <c r="G14" s="240">
        <f>+'EUS 2020'!G14*'EUS 2021'!$B$1-1</f>
        <v>61392.267155999994</v>
      </c>
      <c r="H14" s="260">
        <f>+'EUS 2020'!H14*'EUS 2021'!$B$1+1</f>
        <v>21212.193795999996</v>
      </c>
      <c r="I14" s="240">
        <f>+'EUS 2020'!I14*'EUS 2021'!$B$1</f>
        <v>25291.690735999997</v>
      </c>
      <c r="J14" s="260">
        <f>+'EUS 2020'!J14*'EUS 2021'!$B$1</f>
        <v>33459.019152000001</v>
      </c>
      <c r="K14" s="240">
        <f>+'EUS 2020'!K14*'EUS 2021'!$B$1</f>
        <v>0</v>
      </c>
      <c r="L14" s="240">
        <f>+'EUS 2020'!L14*'EUS 2021'!$B$1</f>
        <v>0</v>
      </c>
      <c r="M14" s="240">
        <f>+'EUS 2020'!M14*'EUS 2021'!$B$1</f>
        <v>0</v>
      </c>
      <c r="N14" s="240">
        <f>+'EUS 2020'!N14*'EUS 2021'!$B$1</f>
        <v>0</v>
      </c>
      <c r="O14" s="260">
        <f>+'EUS 2020'!O14*'EUS 2021'!$B$1+2</f>
        <v>278565.33211200003</v>
      </c>
      <c r="P14" s="254">
        <f>+'EUS 2020'!P14*'EUS 2021'!$B$1</f>
        <v>1359386.1468200001</v>
      </c>
      <c r="Q14" s="260">
        <f>+'EUS 2020'!Q14*'EUS 2021'!$B$1</f>
        <v>139281.66605600002</v>
      </c>
      <c r="R14" s="222"/>
      <c r="S14" s="243"/>
      <c r="T14" s="222"/>
    </row>
    <row r="15" spans="1:94" x14ac:dyDescent="0.25">
      <c r="A15" s="220"/>
      <c r="B15" s="251">
        <v>12</v>
      </c>
      <c r="C15" s="260">
        <f>+'EUS 2020'!C15*'EUS 2021'!$B$1-1</f>
        <v>360128.98491599999</v>
      </c>
      <c r="D15" s="240">
        <f>+'EUS 2020'!D15*'EUS 2021'!$B$1</f>
        <v>77428.089283999987</v>
      </c>
      <c r="E15" s="260">
        <f>+'EUS 2020'!E15*'EUS 2021'!$B$1-2</f>
        <v>264251.61528799997</v>
      </c>
      <c r="F15" s="240">
        <f>+'EUS 2020'!F15*'EUS 2021'!$B$1</f>
        <v>100837.36707199999</v>
      </c>
      <c r="G15" s="240">
        <f>+'EUS 2020'!G15*'EUS 2021'!$B$1</f>
        <v>51922.08008</v>
      </c>
      <c r="H15" s="260">
        <f>+'EUS 2020'!H15*'EUS 2021'!$B$1-1</f>
        <v>78932.597339999993</v>
      </c>
      <c r="I15" s="240">
        <f>+'EUS 2020'!I15*'EUS 2021'!$B$1</f>
        <v>20201.891059999998</v>
      </c>
      <c r="J15" s="260">
        <f>+'EUS 2020'!J15*'EUS 2021'!$B$1+1</f>
        <v>55278.272647999998</v>
      </c>
      <c r="K15" s="240">
        <f>+'EUS 2020'!K15*'EUS 2021'!$B$1</f>
        <v>0</v>
      </c>
      <c r="L15" s="240">
        <f>+'EUS 2020'!L15*'EUS 2021'!$B$1</f>
        <v>0</v>
      </c>
      <c r="M15" s="240">
        <f>+'EUS 2020'!M15*'EUS 2021'!$B$1</f>
        <v>0</v>
      </c>
      <c r="N15" s="240">
        <f>+'EUS 2020'!N15*'EUS 2021'!$B$1</f>
        <v>0</v>
      </c>
      <c r="O15" s="260">
        <f>+'EUS 2020'!O15*'EUS 2021'!$B$1+1</f>
        <v>252093.361924</v>
      </c>
      <c r="P15" s="254">
        <f>+'EUS 2020'!P15*'EUS 2021'!$B$1</f>
        <v>1261076.2596120001</v>
      </c>
      <c r="Q15" s="260">
        <f>+'EUS 2020'!Q15*'EUS 2021'!$B$1</f>
        <v>126045.65308399999</v>
      </c>
      <c r="R15" s="222"/>
      <c r="S15" s="243"/>
      <c r="T15" s="222"/>
    </row>
    <row r="16" spans="1:94" x14ac:dyDescent="0.25">
      <c r="A16" s="220"/>
      <c r="B16" s="251">
        <v>13</v>
      </c>
      <c r="C16" s="260">
        <f>+'EUS 2020'!C16*'EUS 2021'!$B$1</f>
        <v>333440.47323599993</v>
      </c>
      <c r="D16" s="240">
        <f>+'EUS 2020'!D16*'EUS 2021'!$B$1</f>
        <v>71690.055424000006</v>
      </c>
      <c r="E16" s="260">
        <f>+'EUS 2020'!E16*'EUS 2021'!$B$1</f>
        <v>196643.00104800001</v>
      </c>
      <c r="F16" s="240">
        <f>+'EUS 2020'!F16*'EUS 2021'!$B$1</f>
        <v>93362.614591999998</v>
      </c>
      <c r="G16" s="240">
        <f>+'EUS 2020'!G16*'EUS 2021'!$B$1+2</f>
        <v>38333.333091999993</v>
      </c>
      <c r="H16" s="260">
        <f>+'EUS 2020'!H16*'EUS 2021'!$B$1+2</f>
        <v>76600.265067999993</v>
      </c>
      <c r="I16" s="240">
        <f>+'EUS 2020'!I16*'EUS 2021'!$B$1</f>
        <v>14577.878847999998</v>
      </c>
      <c r="J16" s="260">
        <f>+'EUS 2020'!J16*'EUS 2021'!$B$1+1</f>
        <v>55278.272647999998</v>
      </c>
      <c r="K16" s="240">
        <f>+'EUS 2020'!K16*'EUS 2021'!$B$1</f>
        <v>0</v>
      </c>
      <c r="L16" s="240">
        <f>+'EUS 2020'!L16*'EUS 2021'!$B$1</f>
        <v>0</v>
      </c>
      <c r="M16" s="240">
        <f>+'EUS 2020'!M16*'EUS 2021'!$B$1</f>
        <v>0</v>
      </c>
      <c r="N16" s="240">
        <f>+'EUS 2020'!N16*'EUS 2021'!$B$1</f>
        <v>0</v>
      </c>
      <c r="O16" s="260">
        <f>+'EUS 2020'!O16*'EUS 2021'!$B$1</f>
        <v>0</v>
      </c>
      <c r="P16" s="254">
        <f>+'EUS 2020'!P16*'EUS 2021'!$B$1</f>
        <v>879920.89395599987</v>
      </c>
      <c r="Q16" s="260">
        <f>+'EUS 2020'!Q16*'EUS 2021'!$B$1</f>
        <v>0</v>
      </c>
      <c r="R16" s="222"/>
      <c r="S16" s="243"/>
      <c r="T16" s="222"/>
    </row>
    <row r="17" spans="1:19" x14ac:dyDescent="0.25">
      <c r="A17" s="220"/>
      <c r="B17" s="251">
        <v>14</v>
      </c>
      <c r="C17" s="260">
        <f>+'EUS 2020'!C17*'EUS 2021'!$B$1+1</f>
        <v>308691.385328</v>
      </c>
      <c r="D17" s="240">
        <f>+'EUS 2020'!D17*'EUS 2021'!$B$1</f>
        <v>66366.933671999999</v>
      </c>
      <c r="E17" s="260">
        <f>+'EUS 2020'!E17*'EUS 2021'!$B$1</f>
        <v>148539.59041999999</v>
      </c>
      <c r="F17" s="240">
        <f>+'EUS 2020'!F17*'EUS 2021'!$B$1</f>
        <v>86433.687963999982</v>
      </c>
      <c r="G17" s="240">
        <f>+'EUS 2020'!G17*'EUS 2021'!$B$1+1</f>
        <v>28903.376256</v>
      </c>
      <c r="H17" s="260">
        <f>+'EUS 2020'!H17*'EUS 2021'!$B$1</f>
        <v>75986.982343999989</v>
      </c>
      <c r="I17" s="240">
        <f>+'EUS 2020'!I17*'EUS 2021'!$B$1</f>
        <v>10777.157248</v>
      </c>
      <c r="J17" s="260">
        <f>+'EUS 2020'!J17*'EUS 2021'!$B$1+1</f>
        <v>55278.272647999998</v>
      </c>
      <c r="K17" s="240">
        <f>+'EUS 2020'!K17*'EUS 2021'!$B$1</f>
        <v>0</v>
      </c>
      <c r="L17" s="240">
        <f>+'EUS 2020'!L17*'EUS 2021'!$B$1</f>
        <v>0</v>
      </c>
      <c r="M17" s="240">
        <f>+'EUS 2020'!M17*'EUS 2021'!$B$1</f>
        <v>0</v>
      </c>
      <c r="N17" s="240">
        <f>+'EUS 2020'!N17*'EUS 2021'!$B$1</f>
        <v>0</v>
      </c>
      <c r="O17" s="260">
        <f>+'EUS 2020'!O17*'EUS 2021'!$B$1</f>
        <v>0</v>
      </c>
      <c r="P17" s="254">
        <f>+'EUS 2020'!P17*'EUS 2021'!$B$1</f>
        <v>780974.38587999984</v>
      </c>
      <c r="Q17" s="260">
        <f>+'EUS 2020'!Q17*'EUS 2021'!$B$1</f>
        <v>0</v>
      </c>
      <c r="R17" s="222"/>
      <c r="S17" s="243"/>
    </row>
    <row r="18" spans="1:19" x14ac:dyDescent="0.25">
      <c r="A18" s="220"/>
      <c r="B18" s="251">
        <v>15</v>
      </c>
      <c r="C18" s="260">
        <f>+'EUS 2020'!C18*'EUS 2021'!$B$1</f>
        <v>285844.88124399999</v>
      </c>
      <c r="D18" s="240">
        <f>+'EUS 2020'!D18*'EUS 2021'!$B$1</f>
        <v>61455.556759999999</v>
      </c>
      <c r="E18" s="260">
        <f>+'EUS 2020'!E18*'EUS 2021'!$B$1</f>
        <v>119309.929804</v>
      </c>
      <c r="F18" s="240">
        <f>+'EUS 2020'!F18*'EUS 2021'!$B$1</f>
        <v>80036.862359999999</v>
      </c>
      <c r="G18" s="240">
        <f>+'EUS 2020'!G18*'EUS 2021'!$B$1-1</f>
        <v>22413.755635999998</v>
      </c>
      <c r="H18" s="260">
        <f>+'EUS 2020'!H18*'EUS 2021'!$B$1-1</f>
        <v>65435.812635999995</v>
      </c>
      <c r="I18" s="240">
        <f>+'EUS 2020'!I18*'EUS 2021'!$B$1+1</f>
        <v>8433.3231720000003</v>
      </c>
      <c r="J18" s="260">
        <f>+'EUS 2020'!J18*'EUS 2021'!$B$1+1</f>
        <v>55278.272647999998</v>
      </c>
      <c r="K18" s="240">
        <f>+'EUS 2020'!K18*'EUS 2021'!$B$1</f>
        <v>0</v>
      </c>
      <c r="L18" s="240">
        <f>+'EUS 2020'!L18*'EUS 2021'!$B$1</f>
        <v>0</v>
      </c>
      <c r="M18" s="240">
        <f>+'EUS 2020'!M18*'EUS 2021'!$B$1</f>
        <v>0</v>
      </c>
      <c r="N18" s="240">
        <f>+'EUS 2020'!N18*'EUS 2021'!$B$1</f>
        <v>0</v>
      </c>
      <c r="O18" s="260">
        <f>+'EUS 2020'!O18*'EUS 2021'!$B$1</f>
        <v>0</v>
      </c>
      <c r="P18" s="254">
        <f>+'EUS 2020'!P18*'EUS 2021'!$B$1</f>
        <v>698208.39426000009</v>
      </c>
      <c r="Q18" s="260">
        <f>+'EUS 2020'!Q18*'EUS 2021'!$B$1</f>
        <v>0</v>
      </c>
      <c r="R18" s="222"/>
      <c r="S18" s="243"/>
    </row>
    <row r="19" spans="1:19" x14ac:dyDescent="0.25">
      <c r="A19" s="220"/>
      <c r="B19" s="251">
        <v>16</v>
      </c>
      <c r="C19" s="260">
        <f>+'EUS 2020'!C19*'EUS 2021'!$B$1</f>
        <v>264621.01837599999</v>
      </c>
      <c r="D19" s="240">
        <f>+'EUS 2020'!D19*'EUS 2021'!$B$1</f>
        <v>56893.635083999994</v>
      </c>
      <c r="E19" s="260">
        <f>+'EUS 2020'!E19*'EUS 2021'!$B$1</f>
        <v>117176.24692799999</v>
      </c>
      <c r="F19" s="240">
        <f>+'EUS 2020'!F19*'EUS 2021'!$B$1</f>
        <v>74094.011835999991</v>
      </c>
      <c r="G19" s="240">
        <f>+'EUS 2020'!G19*'EUS 2021'!$B$1-1</f>
        <v>21829.922567999998</v>
      </c>
      <c r="H19" s="260">
        <f>+'EUS 2020'!H19*'EUS 2021'!$B$1-1</f>
        <v>68940.92255599999</v>
      </c>
      <c r="I19" s="240">
        <f>+'EUS 2020'!I19*'EUS 2021'!$B$1-1</f>
        <v>8190.6108039999999</v>
      </c>
      <c r="J19" s="260">
        <f>+'EUS 2020'!J19*'EUS 2021'!$B$1+1</f>
        <v>55278.272647999998</v>
      </c>
      <c r="K19" s="240">
        <f>+'EUS 2020'!K19*'EUS 2021'!$B$1</f>
        <v>0</v>
      </c>
      <c r="L19" s="240">
        <f>+'EUS 2020'!L19*'EUS 2021'!$B$1</f>
        <v>0</v>
      </c>
      <c r="M19" s="240">
        <f>+'EUS 2020'!M19*'EUS 2021'!$B$1</f>
        <v>0</v>
      </c>
      <c r="N19" s="240">
        <f>+'EUS 2020'!N19*'EUS 2021'!$B$1</f>
        <v>0</v>
      </c>
      <c r="O19" s="260">
        <f>+'EUS 2020'!O19*'EUS 2021'!$B$1</f>
        <v>0</v>
      </c>
      <c r="P19" s="254">
        <f>+'EUS 2020'!P19*'EUS 2021'!$B$1</f>
        <v>667026.64079999994</v>
      </c>
      <c r="Q19" s="260">
        <f>+'EUS 2020'!Q19*'EUS 2021'!$B$1</f>
        <v>0</v>
      </c>
      <c r="R19" s="222"/>
      <c r="S19" s="243"/>
    </row>
    <row r="20" spans="1:19" x14ac:dyDescent="0.25">
      <c r="A20" s="220"/>
      <c r="B20" s="251">
        <v>17</v>
      </c>
      <c r="C20" s="260">
        <f>+'EUS 2020'!C20*'EUS 2021'!$B$1-1</f>
        <v>245027.29852799998</v>
      </c>
      <c r="D20" s="240">
        <f>+'EUS 2020'!D20*'EUS 2021'!$B$1</f>
        <v>52680.112887999996</v>
      </c>
      <c r="E20" s="260">
        <f>+'EUS 2020'!E20*'EUS 2021'!$B$1</f>
        <v>90596.533872</v>
      </c>
      <c r="F20" s="240">
        <f>+'EUS 2020'!F20*'EUS 2021'!$B$1</f>
        <v>68607.247903999989</v>
      </c>
      <c r="G20" s="240">
        <f>+'EUS 2020'!G20*'EUS 2021'!$B$1</f>
        <v>15731.820156</v>
      </c>
      <c r="H20" s="260">
        <f>+'EUS 2020'!H20*'EUS 2021'!$B$1</f>
        <v>64138.23275599999</v>
      </c>
      <c r="I20" s="240">
        <f>+'EUS 2020'!I20*'EUS 2021'!$B$1</f>
        <v>5874.2263839999996</v>
      </c>
      <c r="J20" s="260">
        <f>+'EUS 2020'!J20*'EUS 2021'!$B$1+1</f>
        <v>55278.272647999998</v>
      </c>
      <c r="K20" s="240">
        <f>+'EUS 2020'!K20*'EUS 2021'!$B$1</f>
        <v>0</v>
      </c>
      <c r="L20" s="240">
        <f>+'EUS 2020'!L20*'EUS 2021'!$B$1</f>
        <v>0</v>
      </c>
      <c r="M20" s="240">
        <f>+'EUS 2020'!M20*'EUS 2021'!$B$1</f>
        <v>0</v>
      </c>
      <c r="N20" s="240">
        <f>+'EUS 2020'!N20*'EUS 2021'!$B$1</f>
        <v>0</v>
      </c>
      <c r="O20" s="260">
        <f>+'EUS 2020'!O20*'EUS 2021'!$B$1</f>
        <v>0</v>
      </c>
      <c r="P20" s="254">
        <f>+'EUS 2020'!P20*'EUS 2021'!$B$1</f>
        <v>597933.74513599998</v>
      </c>
      <c r="Q20" s="260">
        <f>+'EUS 2020'!Q20*'EUS 2021'!$B$1</f>
        <v>0</v>
      </c>
      <c r="R20" s="222"/>
      <c r="S20" s="243"/>
    </row>
    <row r="21" spans="1:19" x14ac:dyDescent="0.25">
      <c r="A21" s="220"/>
      <c r="B21" s="251">
        <v>18</v>
      </c>
      <c r="C21" s="248"/>
      <c r="D21" s="240"/>
      <c r="E21" s="248"/>
      <c r="F21" s="240"/>
      <c r="G21" s="240"/>
      <c r="H21" s="248"/>
      <c r="I21" s="240"/>
      <c r="J21" s="248"/>
      <c r="K21" s="240"/>
      <c r="L21" s="240"/>
      <c r="M21" s="240"/>
      <c r="N21" s="240"/>
      <c r="O21" s="248"/>
      <c r="P21" s="254">
        <v>0</v>
      </c>
      <c r="Q21" s="260">
        <f>+'EUS 2020'!Q21*'EUS 2021'!$B$1</f>
        <v>0</v>
      </c>
      <c r="R21" s="222"/>
      <c r="S21" s="243"/>
    </row>
    <row r="22" spans="1:19" x14ac:dyDescent="0.25">
      <c r="A22" s="220"/>
      <c r="B22" s="251">
        <v>19</v>
      </c>
      <c r="C22" s="248"/>
      <c r="D22" s="240"/>
      <c r="E22" s="248"/>
      <c r="F22" s="240"/>
      <c r="G22" s="240"/>
      <c r="H22" s="248"/>
      <c r="I22" s="240"/>
      <c r="J22" s="248"/>
      <c r="K22" s="240"/>
      <c r="L22" s="240"/>
      <c r="M22" s="240"/>
      <c r="N22" s="240"/>
      <c r="O22" s="248"/>
      <c r="P22" s="254">
        <v>0</v>
      </c>
      <c r="Q22" s="260">
        <f>+'EUS 2020'!Q22*'EUS 2021'!$B$1</f>
        <v>0</v>
      </c>
      <c r="R22" s="222"/>
      <c r="S22" s="243"/>
    </row>
    <row r="23" spans="1:19" x14ac:dyDescent="0.25">
      <c r="A23" s="220"/>
      <c r="B23" s="251">
        <v>20</v>
      </c>
      <c r="C23" s="248"/>
      <c r="D23" s="240"/>
      <c r="E23" s="248"/>
      <c r="F23" s="240"/>
      <c r="G23" s="240"/>
      <c r="H23" s="248"/>
      <c r="I23" s="240"/>
      <c r="J23" s="248"/>
      <c r="K23" s="240"/>
      <c r="L23" s="240"/>
      <c r="M23" s="240"/>
      <c r="N23" s="240"/>
      <c r="O23" s="248"/>
      <c r="P23" s="254">
        <v>0</v>
      </c>
      <c r="Q23" s="260">
        <f>+'EUS 2020'!Q23*'EUS 2021'!$B$1</f>
        <v>0</v>
      </c>
      <c r="R23" s="222"/>
      <c r="S23" s="243"/>
    </row>
    <row r="25" spans="1:19" x14ac:dyDescent="0.25">
      <c r="C25" s="222"/>
    </row>
    <row r="26" spans="1:19" x14ac:dyDescent="0.25">
      <c r="P26" s="222"/>
    </row>
    <row r="27" spans="1:19" x14ac:dyDescent="0.25">
      <c r="Q27" s="222"/>
    </row>
    <row r="28" spans="1:19" ht="13.5" thickBot="1" x14ac:dyDescent="0.3"/>
    <row r="29" spans="1:19" ht="13.5" thickBot="1" x14ac:dyDescent="0.3">
      <c r="A29" s="347" t="s">
        <v>78</v>
      </c>
      <c r="B29" s="348"/>
      <c r="C29" s="348"/>
      <c r="D29" s="348"/>
      <c r="E29" s="348"/>
      <c r="F29" s="349"/>
      <c r="H29" s="347" t="s">
        <v>14</v>
      </c>
      <c r="I29" s="348"/>
      <c r="J29" s="348"/>
      <c r="K29" s="348"/>
      <c r="L29" s="348"/>
      <c r="M29" s="348"/>
      <c r="N29" s="348"/>
      <c r="O29" s="348"/>
      <c r="P29" s="348"/>
      <c r="Q29" s="348"/>
      <c r="R29" s="349"/>
    </row>
    <row r="31" spans="1:19" x14ac:dyDescent="0.25">
      <c r="A31" s="342" t="s">
        <v>15</v>
      </c>
      <c r="B31" s="342" t="s">
        <v>16</v>
      </c>
      <c r="C31" s="342" t="s">
        <v>67</v>
      </c>
      <c r="D31" s="343" t="s">
        <v>18</v>
      </c>
      <c r="E31" s="343"/>
      <c r="F31" s="343"/>
      <c r="G31" s="223"/>
      <c r="H31" s="342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38"/>
      <c r="P31" s="338"/>
      <c r="Q31" s="338"/>
      <c r="R31" s="339"/>
    </row>
    <row r="32" spans="1:19" x14ac:dyDescent="0.25">
      <c r="A32" s="342"/>
      <c r="B32" s="342"/>
      <c r="C32" s="342"/>
      <c r="D32" s="224" t="s">
        <v>23</v>
      </c>
      <c r="E32" s="224">
        <v>0.25</v>
      </c>
      <c r="F32" s="225">
        <v>0.5</v>
      </c>
      <c r="G32" s="223"/>
      <c r="H32" s="342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24">
        <v>0.30599999999999999</v>
      </c>
      <c r="S32" s="219"/>
    </row>
    <row r="33" spans="1:19" x14ac:dyDescent="0.25">
      <c r="A33" s="224">
        <v>1</v>
      </c>
      <c r="B33" s="245">
        <f>VLOOKUP(A33,B3:C23,2,0)</f>
        <v>664271.63302399998</v>
      </c>
      <c r="C33" s="245">
        <f>VLOOKUP(A33,B3:E23,4,0)</f>
        <v>2467197.4320640001</v>
      </c>
      <c r="D33" s="245">
        <f>ROUND((B33+C33)/190,0)</f>
        <v>16481</v>
      </c>
      <c r="E33" s="246">
        <f>ROUND(D33*1.25,0)</f>
        <v>20601</v>
      </c>
      <c r="F33" s="246">
        <f>ROUND(D33*1.5,0)</f>
        <v>24722</v>
      </c>
      <c r="H33" s="224">
        <v>1</v>
      </c>
      <c r="I33" s="245">
        <f>VLOOKUP(H33,B4:C23,2,0)</f>
        <v>664271.63302399998</v>
      </c>
      <c r="J33" s="245">
        <f>VLOOKUP(H33,B4:E23,4,0)</f>
        <v>2467197.4320640001</v>
      </c>
      <c r="K33" s="245">
        <f>VLOOKUP(H33,B4:H23,7,0)</f>
        <v>20535.252192</v>
      </c>
      <c r="L33" s="245">
        <f>VLOOKUP(H33,B4:J23,9,0)</f>
        <v>0</v>
      </c>
      <c r="M33" s="241">
        <f>SUM(I33:L33)</f>
        <v>3152004.3172800001</v>
      </c>
      <c r="N33" s="247">
        <f>ROUND(M33*0.306,0)</f>
        <v>964513</v>
      </c>
      <c r="O33" s="248">
        <f>ROUND($M33*$O$32*3,0)</f>
        <v>1418402</v>
      </c>
      <c r="P33" s="248">
        <f>ROUND($M33*$P$32*3,0)</f>
        <v>718657</v>
      </c>
      <c r="Q33" s="248">
        <f>ROUND($M33*$Q$32*3,0)</f>
        <v>756481</v>
      </c>
      <c r="R33" s="249">
        <f>SUM(O33:Q33)</f>
        <v>2893540</v>
      </c>
      <c r="S33" s="222"/>
    </row>
    <row r="34" spans="1:19" x14ac:dyDescent="0.25">
      <c r="A34" s="224">
        <v>2</v>
      </c>
      <c r="B34" s="245">
        <f t="shared" ref="B34:B52" si="0">VLOOKUP(A34,B4:C24,2,0)</f>
        <v>626965.54502399999</v>
      </c>
      <c r="C34" s="245">
        <f t="shared" ref="C34:C52" si="1">VLOOKUP(A34,B4:E24,4,0)</f>
        <v>2360389.8165120003</v>
      </c>
      <c r="D34" s="245">
        <f t="shared" ref="D34:D52" si="2">ROUND((B34+C34)/190,0)</f>
        <v>15723</v>
      </c>
      <c r="E34" s="246">
        <f t="shared" ref="E34:E52" si="3">ROUND(D34*1.25,0)</f>
        <v>19654</v>
      </c>
      <c r="F34" s="246">
        <f t="shared" ref="F34:F52" si="4">ROUND(D34*1.5,0)</f>
        <v>23585</v>
      </c>
      <c r="H34" s="224">
        <v>2</v>
      </c>
      <c r="I34" s="245">
        <f t="shared" ref="I34:I52" si="5">VLOOKUP(H34,B5:C24,2,0)</f>
        <v>626965.54502399999</v>
      </c>
      <c r="J34" s="245">
        <f t="shared" ref="J34:J52" si="6">VLOOKUP(H34,B5:E24,4,0)</f>
        <v>2360389.8165120003</v>
      </c>
      <c r="K34" s="245">
        <f t="shared" ref="K34:K52" si="7">VLOOKUP(H34,B5:H24,7,0)</f>
        <v>20535.252192</v>
      </c>
      <c r="L34" s="245">
        <f t="shared" ref="L34:L52" si="8">VLOOKUP(H34,B5:J24,9,0)</f>
        <v>0</v>
      </c>
      <c r="M34" s="241">
        <f t="shared" ref="M34:M52" si="9">SUM(I34:L34)</f>
        <v>3007890.6137280003</v>
      </c>
      <c r="N34" s="247">
        <f t="shared" ref="N34:N52" si="10">ROUND(M34*0.306,0)</f>
        <v>920415</v>
      </c>
      <c r="O34" s="248">
        <f t="shared" ref="O34:O52" si="11">ROUND($M34*$O$32*3,0)</f>
        <v>1353551</v>
      </c>
      <c r="P34" s="248">
        <f t="shared" ref="P34:P52" si="12">ROUND($M34*$P$32*3,0)</f>
        <v>685799</v>
      </c>
      <c r="Q34" s="248">
        <f t="shared" ref="Q34:Q52" si="13">ROUND($M34*$Q$32*3,0)</f>
        <v>721894</v>
      </c>
      <c r="R34" s="249">
        <f t="shared" ref="R34:R52" si="14">SUM(O34:Q34)</f>
        <v>2761244</v>
      </c>
      <c r="S34" s="222"/>
    </row>
    <row r="35" spans="1:19" x14ac:dyDescent="0.25">
      <c r="A35" s="224">
        <v>3</v>
      </c>
      <c r="B35" s="245">
        <f t="shared" si="0"/>
        <v>661972.90313600004</v>
      </c>
      <c r="C35" s="245">
        <f t="shared" si="1"/>
        <v>1946380.2845759999</v>
      </c>
      <c r="D35" s="245">
        <f t="shared" si="2"/>
        <v>13728</v>
      </c>
      <c r="E35" s="246">
        <f t="shared" si="3"/>
        <v>17160</v>
      </c>
      <c r="F35" s="246">
        <f t="shared" si="4"/>
        <v>20592</v>
      </c>
      <c r="H35" s="224">
        <v>3</v>
      </c>
      <c r="I35" s="245">
        <f t="shared" si="5"/>
        <v>661972.90313600004</v>
      </c>
      <c r="J35" s="245">
        <f t="shared" si="6"/>
        <v>1946380.2845759999</v>
      </c>
      <c r="K35" s="245">
        <f t="shared" si="7"/>
        <v>20535.252192</v>
      </c>
      <c r="L35" s="245">
        <f t="shared" si="8"/>
        <v>28169.384608</v>
      </c>
      <c r="M35" s="241">
        <f t="shared" si="9"/>
        <v>2657057.8245119997</v>
      </c>
      <c r="N35" s="247">
        <f t="shared" si="10"/>
        <v>813060</v>
      </c>
      <c r="O35" s="248">
        <f t="shared" si="11"/>
        <v>1195676</v>
      </c>
      <c r="P35" s="248">
        <f t="shared" si="12"/>
        <v>605809</v>
      </c>
      <c r="Q35" s="248">
        <f t="shared" si="13"/>
        <v>637694</v>
      </c>
      <c r="R35" s="249">
        <f t="shared" si="14"/>
        <v>2439179</v>
      </c>
      <c r="S35" s="222"/>
    </row>
    <row r="36" spans="1:19" x14ac:dyDescent="0.25">
      <c r="A36" s="224">
        <v>4</v>
      </c>
      <c r="B36" s="245">
        <f t="shared" si="0"/>
        <v>624519.631008</v>
      </c>
      <c r="C36" s="245">
        <f t="shared" si="1"/>
        <v>1888413.2246080001</v>
      </c>
      <c r="D36" s="245">
        <f t="shared" si="2"/>
        <v>13226</v>
      </c>
      <c r="E36" s="246">
        <f t="shared" si="3"/>
        <v>16533</v>
      </c>
      <c r="F36" s="246">
        <f t="shared" si="4"/>
        <v>19839</v>
      </c>
      <c r="H36" s="224">
        <v>4</v>
      </c>
      <c r="I36" s="245">
        <f t="shared" si="5"/>
        <v>624519.631008</v>
      </c>
      <c r="J36" s="245">
        <f t="shared" si="6"/>
        <v>1888413.2246080001</v>
      </c>
      <c r="K36" s="245">
        <f t="shared" si="7"/>
        <v>20535.252192</v>
      </c>
      <c r="L36" s="245">
        <f t="shared" si="8"/>
        <v>28169.384608</v>
      </c>
      <c r="M36" s="241">
        <f t="shared" si="9"/>
        <v>2561637.492416</v>
      </c>
      <c r="N36" s="247">
        <f t="shared" si="10"/>
        <v>783861</v>
      </c>
      <c r="O36" s="248">
        <f t="shared" si="11"/>
        <v>1152737</v>
      </c>
      <c r="P36" s="248">
        <f t="shared" si="12"/>
        <v>584053</v>
      </c>
      <c r="Q36" s="248">
        <f t="shared" si="13"/>
        <v>614793</v>
      </c>
      <c r="R36" s="249">
        <f t="shared" si="14"/>
        <v>2351583</v>
      </c>
      <c r="S36" s="222"/>
    </row>
    <row r="37" spans="1:19" x14ac:dyDescent="0.25">
      <c r="A37" s="224">
        <v>5</v>
      </c>
      <c r="B37" s="245">
        <f t="shared" si="0"/>
        <v>589191.37395200005</v>
      </c>
      <c r="C37" s="245">
        <f t="shared" si="1"/>
        <v>1623046.4187200002</v>
      </c>
      <c r="D37" s="245">
        <f t="shared" si="2"/>
        <v>11643</v>
      </c>
      <c r="E37" s="246">
        <f t="shared" si="3"/>
        <v>14554</v>
      </c>
      <c r="F37" s="246">
        <f t="shared" si="4"/>
        <v>17465</v>
      </c>
      <c r="H37" s="224">
        <v>5</v>
      </c>
      <c r="I37" s="245">
        <f t="shared" si="5"/>
        <v>589191.37395200005</v>
      </c>
      <c r="J37" s="245">
        <f t="shared" si="6"/>
        <v>1623046.4187200002</v>
      </c>
      <c r="K37" s="245">
        <f t="shared" si="7"/>
        <v>20535.252192</v>
      </c>
      <c r="L37" s="245">
        <f t="shared" si="8"/>
        <v>28169.384608</v>
      </c>
      <c r="M37" s="241">
        <f t="shared" si="9"/>
        <v>2260942.4294720003</v>
      </c>
      <c r="N37" s="247">
        <f t="shared" si="10"/>
        <v>691848</v>
      </c>
      <c r="O37" s="248">
        <f t="shared" si="11"/>
        <v>1017424</v>
      </c>
      <c r="P37" s="248">
        <f t="shared" si="12"/>
        <v>515495</v>
      </c>
      <c r="Q37" s="248">
        <f t="shared" si="13"/>
        <v>542626</v>
      </c>
      <c r="R37" s="249">
        <f t="shared" si="14"/>
        <v>2075545</v>
      </c>
      <c r="S37" s="222"/>
    </row>
    <row r="38" spans="1:19" x14ac:dyDescent="0.25">
      <c r="A38" s="224">
        <v>6</v>
      </c>
      <c r="B38" s="245">
        <f t="shared" si="0"/>
        <v>555796.93068800005</v>
      </c>
      <c r="C38" s="245">
        <f t="shared" si="1"/>
        <v>1371601.667712</v>
      </c>
      <c r="D38" s="245">
        <f t="shared" si="2"/>
        <v>10144</v>
      </c>
      <c r="E38" s="246">
        <f t="shared" si="3"/>
        <v>12680</v>
      </c>
      <c r="F38" s="246">
        <f t="shared" si="4"/>
        <v>15216</v>
      </c>
      <c r="H38" s="224">
        <v>6</v>
      </c>
      <c r="I38" s="245">
        <f t="shared" si="5"/>
        <v>555796.93068800005</v>
      </c>
      <c r="J38" s="245">
        <f t="shared" si="6"/>
        <v>1371601.667712</v>
      </c>
      <c r="K38" s="245">
        <f t="shared" si="7"/>
        <v>20534.252192</v>
      </c>
      <c r="L38" s="245">
        <f t="shared" si="8"/>
        <v>32454</v>
      </c>
      <c r="M38" s="241">
        <f t="shared" si="9"/>
        <v>1980386.8505919999</v>
      </c>
      <c r="N38" s="247">
        <f t="shared" si="10"/>
        <v>605998</v>
      </c>
      <c r="O38" s="249">
        <f t="shared" si="11"/>
        <v>891174</v>
      </c>
      <c r="P38" s="249">
        <f t="shared" si="12"/>
        <v>451528</v>
      </c>
      <c r="Q38" s="249">
        <f t="shared" si="13"/>
        <v>475293</v>
      </c>
      <c r="R38" s="249">
        <f t="shared" si="14"/>
        <v>1817995</v>
      </c>
      <c r="S38" s="222"/>
    </row>
    <row r="39" spans="1:19" x14ac:dyDescent="0.25">
      <c r="A39" s="224">
        <v>7</v>
      </c>
      <c r="B39" s="245">
        <f t="shared" si="0"/>
        <v>519382.37439999997</v>
      </c>
      <c r="C39" s="245">
        <f t="shared" si="1"/>
        <v>1042799.8775040001</v>
      </c>
      <c r="D39" s="245">
        <f t="shared" si="2"/>
        <v>8222</v>
      </c>
      <c r="E39" s="246">
        <f t="shared" si="3"/>
        <v>10278</v>
      </c>
      <c r="F39" s="246">
        <f t="shared" si="4"/>
        <v>12333</v>
      </c>
      <c r="H39" s="224">
        <v>7</v>
      </c>
      <c r="I39" s="245">
        <f t="shared" si="5"/>
        <v>519382.37439999997</v>
      </c>
      <c r="J39" s="245">
        <f t="shared" si="6"/>
        <v>1042799.8775040001</v>
      </c>
      <c r="K39" s="245">
        <f t="shared" si="7"/>
        <v>20818.776384000001</v>
      </c>
      <c r="L39" s="245">
        <f t="shared" si="8"/>
        <v>32840.011008000001</v>
      </c>
      <c r="M39" s="241">
        <f t="shared" si="9"/>
        <v>1615841.039296</v>
      </c>
      <c r="N39" s="247">
        <f>ROUND(M39*0.306,0)</f>
        <v>494447</v>
      </c>
      <c r="O39" s="249">
        <f t="shared" si="11"/>
        <v>727128</v>
      </c>
      <c r="P39" s="249">
        <f t="shared" si="12"/>
        <v>368412</v>
      </c>
      <c r="Q39" s="249">
        <f t="shared" si="13"/>
        <v>387802</v>
      </c>
      <c r="R39" s="249">
        <f t="shared" si="14"/>
        <v>1483342</v>
      </c>
      <c r="S39" s="222"/>
    </row>
    <row r="40" spans="1:19" x14ac:dyDescent="0.25">
      <c r="A40" s="224">
        <v>8</v>
      </c>
      <c r="B40" s="245">
        <f t="shared" si="0"/>
        <v>489931.962092</v>
      </c>
      <c r="C40" s="245">
        <f t="shared" si="1"/>
        <v>815745.70973999996</v>
      </c>
      <c r="D40" s="245">
        <f t="shared" si="2"/>
        <v>6872</v>
      </c>
      <c r="E40" s="246">
        <f t="shared" si="3"/>
        <v>8590</v>
      </c>
      <c r="F40" s="246">
        <f t="shared" si="4"/>
        <v>10308</v>
      </c>
      <c r="H40" s="224">
        <v>8</v>
      </c>
      <c r="I40" s="245">
        <f t="shared" si="5"/>
        <v>489931.962092</v>
      </c>
      <c r="J40" s="245">
        <f t="shared" si="6"/>
        <v>815745.70973999996</v>
      </c>
      <c r="K40" s="245">
        <f t="shared" si="7"/>
        <v>21211.193795999996</v>
      </c>
      <c r="L40" s="245">
        <f t="shared" si="8"/>
        <v>33459.019152000001</v>
      </c>
      <c r="M40" s="241">
        <f t="shared" si="9"/>
        <v>1360347.88478</v>
      </c>
      <c r="N40" s="247">
        <f t="shared" si="10"/>
        <v>416266</v>
      </c>
      <c r="O40" s="248">
        <f t="shared" si="11"/>
        <v>612157</v>
      </c>
      <c r="P40" s="248">
        <f t="shared" si="12"/>
        <v>310159</v>
      </c>
      <c r="Q40" s="248">
        <f t="shared" si="13"/>
        <v>326483</v>
      </c>
      <c r="R40" s="249">
        <f t="shared" si="14"/>
        <v>1248799</v>
      </c>
      <c r="S40" s="222"/>
    </row>
    <row r="41" spans="1:19" x14ac:dyDescent="0.25">
      <c r="A41" s="224">
        <v>9</v>
      </c>
      <c r="B41" s="245">
        <f t="shared" si="0"/>
        <v>453596.06359600002</v>
      </c>
      <c r="C41" s="245">
        <f t="shared" si="1"/>
        <v>626803.33719999995</v>
      </c>
      <c r="D41" s="245">
        <f t="shared" si="2"/>
        <v>5686</v>
      </c>
      <c r="E41" s="246">
        <f t="shared" si="3"/>
        <v>7108</v>
      </c>
      <c r="F41" s="246">
        <f t="shared" si="4"/>
        <v>8529</v>
      </c>
      <c r="G41" s="222"/>
      <c r="H41" s="224">
        <v>9</v>
      </c>
      <c r="I41" s="245">
        <f t="shared" si="5"/>
        <v>453596.06359600002</v>
      </c>
      <c r="J41" s="245">
        <f t="shared" si="6"/>
        <v>626803.33719999995</v>
      </c>
      <c r="K41" s="245">
        <f t="shared" si="7"/>
        <v>21212.193795999996</v>
      </c>
      <c r="L41" s="245">
        <f t="shared" si="8"/>
        <v>33459.019152000001</v>
      </c>
      <c r="M41" s="241">
        <f t="shared" si="9"/>
        <v>1135070.613744</v>
      </c>
      <c r="N41" s="247">
        <f t="shared" si="10"/>
        <v>347332</v>
      </c>
      <c r="O41" s="248">
        <f t="shared" si="11"/>
        <v>510782</v>
      </c>
      <c r="P41" s="248">
        <f t="shared" si="12"/>
        <v>258796</v>
      </c>
      <c r="Q41" s="248">
        <f t="shared" si="13"/>
        <v>272417</v>
      </c>
      <c r="R41" s="249">
        <f>SUM(O41:Q41)</f>
        <v>1041995</v>
      </c>
      <c r="S41" s="222"/>
    </row>
    <row r="42" spans="1:19" x14ac:dyDescent="0.25">
      <c r="A42" s="224">
        <v>10</v>
      </c>
      <c r="B42" s="245">
        <f t="shared" si="0"/>
        <v>420027.19006399997</v>
      </c>
      <c r="C42" s="245">
        <f t="shared" si="1"/>
        <v>473793.67587599996</v>
      </c>
      <c r="D42" s="245">
        <f t="shared" si="2"/>
        <v>4704</v>
      </c>
      <c r="E42" s="246">
        <f t="shared" si="3"/>
        <v>5880</v>
      </c>
      <c r="F42" s="246">
        <f t="shared" si="4"/>
        <v>7056</v>
      </c>
      <c r="H42" s="224">
        <v>10</v>
      </c>
      <c r="I42" s="245">
        <f t="shared" si="5"/>
        <v>420027.19006399997</v>
      </c>
      <c r="J42" s="245">
        <f t="shared" si="6"/>
        <v>473793.67587599996</v>
      </c>
      <c r="K42" s="245">
        <f t="shared" si="7"/>
        <v>21212.193795999996</v>
      </c>
      <c r="L42" s="245">
        <f t="shared" si="8"/>
        <v>33459.019152000001</v>
      </c>
      <c r="M42" s="241">
        <f t="shared" si="9"/>
        <v>948492.07888799987</v>
      </c>
      <c r="N42" s="247">
        <f t="shared" si="10"/>
        <v>290239</v>
      </c>
      <c r="O42" s="248">
        <f t="shared" si="11"/>
        <v>426821</v>
      </c>
      <c r="P42" s="248">
        <f t="shared" si="12"/>
        <v>216256</v>
      </c>
      <c r="Q42" s="248">
        <f t="shared" si="13"/>
        <v>227638</v>
      </c>
      <c r="R42" s="249">
        <f t="shared" si="14"/>
        <v>870715</v>
      </c>
      <c r="S42" s="222"/>
    </row>
    <row r="43" spans="1:19" x14ac:dyDescent="0.25">
      <c r="A43" s="224">
        <v>11</v>
      </c>
      <c r="B43" s="245">
        <f t="shared" si="0"/>
        <v>388940.45464399998</v>
      </c>
      <c r="C43" s="245">
        <f t="shared" si="1"/>
        <v>358003.69233200001</v>
      </c>
      <c r="D43" s="245">
        <f t="shared" si="2"/>
        <v>3931</v>
      </c>
      <c r="E43" s="246">
        <f t="shared" si="3"/>
        <v>4914</v>
      </c>
      <c r="F43" s="246">
        <f t="shared" si="4"/>
        <v>5897</v>
      </c>
      <c r="H43" s="224">
        <v>11</v>
      </c>
      <c r="I43" s="245">
        <f t="shared" si="5"/>
        <v>388940.45464399998</v>
      </c>
      <c r="J43" s="245">
        <f t="shared" si="6"/>
        <v>358003.69233200001</v>
      </c>
      <c r="K43" s="245">
        <f t="shared" si="7"/>
        <v>21212.193795999996</v>
      </c>
      <c r="L43" s="245">
        <f t="shared" si="8"/>
        <v>33459.019152000001</v>
      </c>
      <c r="M43" s="241">
        <f t="shared" si="9"/>
        <v>801615.35992399987</v>
      </c>
      <c r="N43" s="247">
        <f t="shared" si="10"/>
        <v>245294</v>
      </c>
      <c r="O43" s="248">
        <f t="shared" si="11"/>
        <v>360727</v>
      </c>
      <c r="P43" s="248">
        <f t="shared" si="12"/>
        <v>182768</v>
      </c>
      <c r="Q43" s="248">
        <f t="shared" si="13"/>
        <v>192388</v>
      </c>
      <c r="R43" s="249">
        <f t="shared" si="14"/>
        <v>735883</v>
      </c>
      <c r="S43" s="222"/>
    </row>
    <row r="44" spans="1:19" x14ac:dyDescent="0.25">
      <c r="A44" s="224">
        <v>12</v>
      </c>
      <c r="B44" s="245">
        <f t="shared" si="0"/>
        <v>360128.98491599999</v>
      </c>
      <c r="C44" s="245">
        <f t="shared" si="1"/>
        <v>264251.61528799997</v>
      </c>
      <c r="D44" s="245">
        <f t="shared" si="2"/>
        <v>3286</v>
      </c>
      <c r="E44" s="246">
        <f t="shared" si="3"/>
        <v>4108</v>
      </c>
      <c r="F44" s="246">
        <f t="shared" si="4"/>
        <v>4929</v>
      </c>
      <c r="H44" s="224">
        <v>12</v>
      </c>
      <c r="I44" s="245">
        <f t="shared" si="5"/>
        <v>360128.98491599999</v>
      </c>
      <c r="J44" s="245">
        <f t="shared" si="6"/>
        <v>264251.61528799997</v>
      </c>
      <c r="K44" s="245">
        <f t="shared" si="7"/>
        <v>78932.597339999993</v>
      </c>
      <c r="L44" s="245">
        <f t="shared" si="8"/>
        <v>55278.272647999998</v>
      </c>
      <c r="M44" s="241">
        <f t="shared" si="9"/>
        <v>758591.47019200004</v>
      </c>
      <c r="N44" s="247">
        <f t="shared" si="10"/>
        <v>232129</v>
      </c>
      <c r="O44" s="248">
        <f t="shared" si="11"/>
        <v>341366</v>
      </c>
      <c r="P44" s="248">
        <f t="shared" si="12"/>
        <v>172959</v>
      </c>
      <c r="Q44" s="248">
        <f t="shared" si="13"/>
        <v>182062</v>
      </c>
      <c r="R44" s="249">
        <f t="shared" si="14"/>
        <v>696387</v>
      </c>
      <c r="S44" s="222"/>
    </row>
    <row r="45" spans="1:19" x14ac:dyDescent="0.25">
      <c r="A45" s="224">
        <v>13</v>
      </c>
      <c r="B45" s="245">
        <f t="shared" si="0"/>
        <v>333440.47323599993</v>
      </c>
      <c r="C45" s="245">
        <f t="shared" si="1"/>
        <v>196643.00104800001</v>
      </c>
      <c r="D45" s="245">
        <f t="shared" si="2"/>
        <v>2790</v>
      </c>
      <c r="E45" s="246">
        <f t="shared" si="3"/>
        <v>3488</v>
      </c>
      <c r="F45" s="246">
        <f t="shared" si="4"/>
        <v>4185</v>
      </c>
      <c r="H45" s="224">
        <v>13</v>
      </c>
      <c r="I45" s="245">
        <f t="shared" si="5"/>
        <v>333440.47323599993</v>
      </c>
      <c r="J45" s="245">
        <f t="shared" si="6"/>
        <v>196643.00104800001</v>
      </c>
      <c r="K45" s="245">
        <f t="shared" si="7"/>
        <v>76600.265067999993</v>
      </c>
      <c r="L45" s="245">
        <f t="shared" si="8"/>
        <v>55278.272647999998</v>
      </c>
      <c r="M45" s="241">
        <f t="shared" si="9"/>
        <v>661962.01199999999</v>
      </c>
      <c r="N45" s="247">
        <f t="shared" si="10"/>
        <v>202560</v>
      </c>
      <c r="O45" s="248">
        <f t="shared" si="11"/>
        <v>297883</v>
      </c>
      <c r="P45" s="248">
        <f t="shared" si="12"/>
        <v>150927</v>
      </c>
      <c r="Q45" s="248">
        <f t="shared" si="13"/>
        <v>158871</v>
      </c>
      <c r="R45" s="249">
        <f t="shared" si="14"/>
        <v>607681</v>
      </c>
      <c r="S45" s="222"/>
    </row>
    <row r="46" spans="1:19" x14ac:dyDescent="0.25">
      <c r="A46" s="224">
        <v>14</v>
      </c>
      <c r="B46" s="245">
        <f t="shared" si="0"/>
        <v>308691.385328</v>
      </c>
      <c r="C46" s="245">
        <f t="shared" si="1"/>
        <v>148539.59041999999</v>
      </c>
      <c r="D46" s="245">
        <f t="shared" si="2"/>
        <v>2406</v>
      </c>
      <c r="E46" s="246">
        <f t="shared" si="3"/>
        <v>3008</v>
      </c>
      <c r="F46" s="246">
        <f t="shared" si="4"/>
        <v>3609</v>
      </c>
      <c r="H46" s="224">
        <v>14</v>
      </c>
      <c r="I46" s="245">
        <f t="shared" si="5"/>
        <v>308691.385328</v>
      </c>
      <c r="J46" s="245">
        <f t="shared" si="6"/>
        <v>148539.59041999999</v>
      </c>
      <c r="K46" s="245">
        <f t="shared" si="7"/>
        <v>75986.982343999989</v>
      </c>
      <c r="L46" s="245">
        <f t="shared" si="8"/>
        <v>55278.272647999998</v>
      </c>
      <c r="M46" s="241">
        <f t="shared" si="9"/>
        <v>588496.23074000003</v>
      </c>
      <c r="N46" s="247">
        <f t="shared" si="10"/>
        <v>180080</v>
      </c>
      <c r="O46" s="248">
        <f t="shared" si="11"/>
        <v>264823</v>
      </c>
      <c r="P46" s="248">
        <f t="shared" si="12"/>
        <v>134177</v>
      </c>
      <c r="Q46" s="248">
        <f t="shared" si="13"/>
        <v>141239</v>
      </c>
      <c r="R46" s="249">
        <f t="shared" si="14"/>
        <v>540239</v>
      </c>
      <c r="S46" s="222"/>
    </row>
    <row r="47" spans="1:19" ht="13.5" customHeight="1" x14ac:dyDescent="0.25">
      <c r="A47" s="224">
        <v>15</v>
      </c>
      <c r="B47" s="245">
        <f t="shared" si="0"/>
        <v>285844.88124399999</v>
      </c>
      <c r="C47" s="245">
        <f t="shared" si="1"/>
        <v>119309.929804</v>
      </c>
      <c r="D47" s="245">
        <f t="shared" si="2"/>
        <v>2132</v>
      </c>
      <c r="E47" s="246">
        <f t="shared" si="3"/>
        <v>2665</v>
      </c>
      <c r="F47" s="246">
        <f t="shared" si="4"/>
        <v>3198</v>
      </c>
      <c r="H47" s="224">
        <v>15</v>
      </c>
      <c r="I47" s="245">
        <f t="shared" si="5"/>
        <v>285844.88124399999</v>
      </c>
      <c r="J47" s="245">
        <f t="shared" si="6"/>
        <v>119309.929804</v>
      </c>
      <c r="K47" s="245">
        <f t="shared" si="7"/>
        <v>65435.812635999995</v>
      </c>
      <c r="L47" s="245">
        <f t="shared" si="8"/>
        <v>55278.272647999998</v>
      </c>
      <c r="M47" s="241">
        <f t="shared" si="9"/>
        <v>525868.89633200003</v>
      </c>
      <c r="N47" s="247">
        <f t="shared" si="10"/>
        <v>160916</v>
      </c>
      <c r="O47" s="248">
        <f t="shared" si="11"/>
        <v>236641</v>
      </c>
      <c r="P47" s="248">
        <f t="shared" si="12"/>
        <v>119898</v>
      </c>
      <c r="Q47" s="248">
        <f t="shared" si="13"/>
        <v>126209</v>
      </c>
      <c r="R47" s="249">
        <f t="shared" si="14"/>
        <v>482748</v>
      </c>
      <c r="S47" s="222"/>
    </row>
    <row r="48" spans="1:19" x14ac:dyDescent="0.25">
      <c r="A48" s="224">
        <v>16</v>
      </c>
      <c r="B48" s="245">
        <f t="shared" si="0"/>
        <v>264621.01837599999</v>
      </c>
      <c r="C48" s="245">
        <f t="shared" si="1"/>
        <v>117176.24692799999</v>
      </c>
      <c r="D48" s="245">
        <f t="shared" si="2"/>
        <v>2009</v>
      </c>
      <c r="E48" s="246">
        <f t="shared" si="3"/>
        <v>2511</v>
      </c>
      <c r="F48" s="246">
        <f t="shared" si="4"/>
        <v>3014</v>
      </c>
      <c r="H48" s="224">
        <v>16</v>
      </c>
      <c r="I48" s="245">
        <f t="shared" si="5"/>
        <v>264621.01837599999</v>
      </c>
      <c r="J48" s="245">
        <f t="shared" si="6"/>
        <v>117176.24692799999</v>
      </c>
      <c r="K48" s="245">
        <f t="shared" si="7"/>
        <v>68940.92255599999</v>
      </c>
      <c r="L48" s="245">
        <f t="shared" si="8"/>
        <v>55278.272647999998</v>
      </c>
      <c r="M48" s="241">
        <f t="shared" si="9"/>
        <v>506016.46050799999</v>
      </c>
      <c r="N48" s="247">
        <f t="shared" si="10"/>
        <v>154841</v>
      </c>
      <c r="O48" s="248">
        <f t="shared" si="11"/>
        <v>227707</v>
      </c>
      <c r="P48" s="248">
        <f t="shared" si="12"/>
        <v>115372</v>
      </c>
      <c r="Q48" s="248">
        <f t="shared" si="13"/>
        <v>121444</v>
      </c>
      <c r="R48" s="249">
        <f t="shared" si="14"/>
        <v>464523</v>
      </c>
      <c r="S48" s="222"/>
    </row>
    <row r="49" spans="1:19" x14ac:dyDescent="0.25">
      <c r="A49" s="224">
        <v>17</v>
      </c>
      <c r="B49" s="245">
        <f t="shared" si="0"/>
        <v>245027.29852799998</v>
      </c>
      <c r="C49" s="245">
        <f t="shared" si="1"/>
        <v>90596.533872</v>
      </c>
      <c r="D49" s="245">
        <f t="shared" si="2"/>
        <v>1766</v>
      </c>
      <c r="E49" s="246">
        <f t="shared" si="3"/>
        <v>2208</v>
      </c>
      <c r="F49" s="246">
        <f t="shared" si="4"/>
        <v>2649</v>
      </c>
      <c r="H49" s="224">
        <v>17</v>
      </c>
      <c r="I49" s="245">
        <f t="shared" si="5"/>
        <v>245027.29852799998</v>
      </c>
      <c r="J49" s="245">
        <f t="shared" si="6"/>
        <v>90596.533872</v>
      </c>
      <c r="K49" s="245">
        <f t="shared" si="7"/>
        <v>64138.23275599999</v>
      </c>
      <c r="L49" s="245">
        <f t="shared" si="8"/>
        <v>55278.272647999998</v>
      </c>
      <c r="M49" s="241">
        <f t="shared" si="9"/>
        <v>455040.33780399995</v>
      </c>
      <c r="N49" s="247">
        <f t="shared" si="10"/>
        <v>139242</v>
      </c>
      <c r="O49" s="248">
        <f t="shared" si="11"/>
        <v>204768</v>
      </c>
      <c r="P49" s="248">
        <f t="shared" si="12"/>
        <v>103749</v>
      </c>
      <c r="Q49" s="248">
        <f t="shared" si="13"/>
        <v>109210</v>
      </c>
      <c r="R49" s="249">
        <f t="shared" si="14"/>
        <v>417727</v>
      </c>
      <c r="S49" s="222"/>
    </row>
    <row r="50" spans="1:19" x14ac:dyDescent="0.25">
      <c r="A50" s="224">
        <v>18</v>
      </c>
      <c r="B50" s="245">
        <f t="shared" si="0"/>
        <v>0</v>
      </c>
      <c r="C50" s="245">
        <f t="shared" si="1"/>
        <v>0</v>
      </c>
      <c r="D50" s="245">
        <f t="shared" si="2"/>
        <v>0</v>
      </c>
      <c r="E50" s="246">
        <f t="shared" si="3"/>
        <v>0</v>
      </c>
      <c r="F50" s="246">
        <f t="shared" si="4"/>
        <v>0</v>
      </c>
      <c r="H50" s="224">
        <v>18</v>
      </c>
      <c r="I50" s="245">
        <f t="shared" si="5"/>
        <v>0</v>
      </c>
      <c r="J50" s="245">
        <f t="shared" si="6"/>
        <v>0</v>
      </c>
      <c r="K50" s="245">
        <f t="shared" si="7"/>
        <v>0</v>
      </c>
      <c r="L50" s="245">
        <f t="shared" si="8"/>
        <v>0</v>
      </c>
      <c r="M50" s="241">
        <f t="shared" si="9"/>
        <v>0</v>
      </c>
      <c r="N50" s="247">
        <f t="shared" si="10"/>
        <v>0</v>
      </c>
      <c r="O50" s="248">
        <f t="shared" si="11"/>
        <v>0</v>
      </c>
      <c r="P50" s="248">
        <f t="shared" si="12"/>
        <v>0</v>
      </c>
      <c r="Q50" s="248">
        <f t="shared" si="13"/>
        <v>0</v>
      </c>
      <c r="R50" s="249">
        <f t="shared" si="14"/>
        <v>0</v>
      </c>
      <c r="S50" s="222"/>
    </row>
    <row r="51" spans="1:19" x14ac:dyDescent="0.25">
      <c r="A51" s="224">
        <v>19</v>
      </c>
      <c r="B51" s="245">
        <f t="shared" si="0"/>
        <v>0</v>
      </c>
      <c r="C51" s="245">
        <f t="shared" si="1"/>
        <v>0</v>
      </c>
      <c r="D51" s="245">
        <f t="shared" si="2"/>
        <v>0</v>
      </c>
      <c r="E51" s="246">
        <f t="shared" si="3"/>
        <v>0</v>
      </c>
      <c r="F51" s="246">
        <f t="shared" si="4"/>
        <v>0</v>
      </c>
      <c r="H51" s="224">
        <v>19</v>
      </c>
      <c r="I51" s="245">
        <f t="shared" si="5"/>
        <v>0</v>
      </c>
      <c r="J51" s="245">
        <f t="shared" si="6"/>
        <v>0</v>
      </c>
      <c r="K51" s="245">
        <f t="shared" si="7"/>
        <v>0</v>
      </c>
      <c r="L51" s="245">
        <f t="shared" si="8"/>
        <v>0</v>
      </c>
      <c r="M51" s="241">
        <f t="shared" si="9"/>
        <v>0</v>
      </c>
      <c r="N51" s="247">
        <f t="shared" si="10"/>
        <v>0</v>
      </c>
      <c r="O51" s="248">
        <f t="shared" si="11"/>
        <v>0</v>
      </c>
      <c r="P51" s="248">
        <f t="shared" si="12"/>
        <v>0</v>
      </c>
      <c r="Q51" s="248">
        <f t="shared" si="13"/>
        <v>0</v>
      </c>
      <c r="R51" s="249">
        <f t="shared" si="14"/>
        <v>0</v>
      </c>
      <c r="S51" s="222"/>
    </row>
    <row r="52" spans="1:19" x14ac:dyDescent="0.25">
      <c r="A52" s="224">
        <v>20</v>
      </c>
      <c r="B52" s="245">
        <f t="shared" si="0"/>
        <v>0</v>
      </c>
      <c r="C52" s="245">
        <f t="shared" si="1"/>
        <v>0</v>
      </c>
      <c r="D52" s="245">
        <f t="shared" si="2"/>
        <v>0</v>
      </c>
      <c r="E52" s="246">
        <f t="shared" si="3"/>
        <v>0</v>
      </c>
      <c r="F52" s="246">
        <f t="shared" si="4"/>
        <v>0</v>
      </c>
      <c r="H52" s="224">
        <v>20</v>
      </c>
      <c r="I52" s="245">
        <f t="shared" si="5"/>
        <v>0</v>
      </c>
      <c r="J52" s="245">
        <f t="shared" si="6"/>
        <v>0</v>
      </c>
      <c r="K52" s="245">
        <f t="shared" si="7"/>
        <v>0</v>
      </c>
      <c r="L52" s="245">
        <f t="shared" si="8"/>
        <v>0</v>
      </c>
      <c r="M52" s="241">
        <f t="shared" si="9"/>
        <v>0</v>
      </c>
      <c r="N52" s="247">
        <f t="shared" si="10"/>
        <v>0</v>
      </c>
      <c r="O52" s="248">
        <f t="shared" si="11"/>
        <v>0</v>
      </c>
      <c r="P52" s="248">
        <f t="shared" si="12"/>
        <v>0</v>
      </c>
      <c r="Q52" s="248">
        <f t="shared" si="13"/>
        <v>0</v>
      </c>
      <c r="R52" s="249">
        <f t="shared" si="14"/>
        <v>0</v>
      </c>
      <c r="S52" s="222"/>
    </row>
    <row r="54" spans="1:19" x14ac:dyDescent="0.25">
      <c r="E54" s="222"/>
      <c r="F54" s="222"/>
      <c r="G54" s="222"/>
    </row>
    <row r="55" spans="1:19" x14ac:dyDescent="0.25">
      <c r="E55" s="222"/>
      <c r="F55" s="222"/>
      <c r="G55" s="222"/>
    </row>
    <row r="56" spans="1:19" x14ac:dyDescent="0.25">
      <c r="E56" s="222"/>
      <c r="F56" s="222"/>
      <c r="G56" s="222"/>
    </row>
    <row r="57" spans="1:19" x14ac:dyDescent="0.25">
      <c r="E57" s="222"/>
      <c r="F57" s="222"/>
      <c r="G57" s="222"/>
    </row>
  </sheetData>
  <autoFilter ref="B3:Q23" xr:uid="{00000000-0009-0000-0000-000007000000}"/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0.51181102362204722" right="0.51181102362204722" top="0.15748031496062992" bottom="0.15748031496062992" header="0.31496062992125984" footer="0.31496062992125984"/>
  <pageSetup paperSize="300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N68"/>
  <sheetViews>
    <sheetView zoomScaleNormal="100" workbookViewId="0">
      <selection activeCell="C4" sqref="C4"/>
    </sheetView>
  </sheetViews>
  <sheetFormatPr baseColWidth="10" defaultRowHeight="12.75" x14ac:dyDescent="0.25"/>
  <cols>
    <col min="1" max="1" width="8.85546875" style="221" bestFit="1" customWidth="1"/>
    <col min="2" max="2" width="10.85546875" style="220" bestFit="1" customWidth="1"/>
    <col min="3" max="3" width="13.28515625" style="220" bestFit="1" customWidth="1"/>
    <col min="4" max="4" width="7.42578125" style="220" customWidth="1"/>
    <col min="5" max="5" width="13.5703125" style="220" bestFit="1" customWidth="1"/>
    <col min="6" max="6" width="8.42578125" style="220" customWidth="1"/>
    <col min="7" max="7" width="14.5703125" style="220" bestFit="1" customWidth="1"/>
    <col min="8" max="8" width="13.42578125" style="220" customWidth="1"/>
    <col min="9" max="10" width="12.42578125" style="220" customWidth="1"/>
    <col min="11" max="11" width="15.85546875" style="220" bestFit="1" customWidth="1"/>
    <col min="12" max="12" width="13.7109375" style="220" bestFit="1" customWidth="1"/>
    <col min="13" max="13" width="14.140625" style="220" bestFit="1" customWidth="1"/>
    <col min="14" max="14" width="13.7109375" style="220" bestFit="1" customWidth="1"/>
    <col min="15" max="15" width="12.85546875" style="222" customWidth="1"/>
    <col min="16" max="16" width="11.42578125" style="220" customWidth="1"/>
    <col min="17" max="17" width="12.7109375" style="220" bestFit="1" customWidth="1"/>
    <col min="18" max="18" width="11.5703125" style="222" bestFit="1" customWidth="1"/>
    <col min="19" max="19" width="12.7109375" style="222" customWidth="1"/>
    <col min="20" max="20" width="11.42578125" style="256"/>
    <col min="21" max="16384" width="11.42578125" style="220"/>
  </cols>
  <sheetData>
    <row r="1" spans="1:92" s="219" customFormat="1" ht="30.75" customHeight="1" x14ac:dyDescent="0.25">
      <c r="A1" s="259"/>
      <c r="B1" s="255">
        <v>1.0609999999999999</v>
      </c>
      <c r="C1" s="346" t="s">
        <v>80</v>
      </c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262"/>
      <c r="S1" s="262"/>
      <c r="T1" s="272"/>
    </row>
    <row r="2" spans="1:92" x14ac:dyDescent="0.25">
      <c r="A2" s="220"/>
      <c r="B2" s="221"/>
      <c r="O2" s="220"/>
      <c r="P2" s="222"/>
    </row>
    <row r="3" spans="1:92" s="235" customFormat="1" ht="25.5" x14ac:dyDescent="0.2">
      <c r="B3" s="250" t="str">
        <f>+'Tabla Homol.Dic.2016-Nov.2017'!A3</f>
        <v>GRADOS</v>
      </c>
      <c r="C3" s="250" t="str">
        <f>+'Tabla Homol.Dic.2016-Nov.2017'!$A5</f>
        <v>SUELDO BASE</v>
      </c>
      <c r="D3" s="250" t="str">
        <f>+'Tabla Homol.Dic.2016-Nov.2017'!$A6</f>
        <v>DL 3501</v>
      </c>
      <c r="E3" s="250" t="str">
        <f>+'Tabla Homol.Dic.2016-Nov.2017'!$A7</f>
        <v>ASIG MUNICIPAL</v>
      </c>
      <c r="F3" s="250" t="str">
        <f>+'Tabla Homol.Dic.2016-Nov.2017'!$A8</f>
        <v xml:space="preserve">ASIG.ZONA </v>
      </c>
      <c r="G3" s="250" t="str">
        <f>+'Tabla Homol.Dic.2016-Nov.2017'!$A9</f>
        <v>ART. 10 LEY 18675</v>
      </c>
      <c r="H3" s="278" t="str">
        <f>+'Tabla Homol.Dic.2016-Nov.2017'!$A10</f>
        <v>Asig Unica Ley 18,717</v>
      </c>
      <c r="I3" s="252" t="str">
        <f>+'Tabla Homol.Dic.2016-Nov.2017'!$A11</f>
        <v>Bonif.Salud Ley 18,566</v>
      </c>
      <c r="J3" s="250" t="str">
        <f>+'Tabla Homol.Dic.2016-Nov.2017'!$A12</f>
        <v>LEY 19529</v>
      </c>
      <c r="K3" s="253" t="str">
        <f>+'Tabla Homol.Dic.2016-Nov.2017'!$A13</f>
        <v>SUELDO LEY 18695</v>
      </c>
      <c r="L3" s="252" t="str">
        <f>+'Tabla Homol.Dic.2016-Nov.2017'!$A14</f>
        <v>ASIG.MUNIC. LEY 18695</v>
      </c>
      <c r="M3" s="253" t="str">
        <f>+'Tabla Homol.Dic.2016-Nov.2017'!$A15</f>
        <v>LEY 20008 JUECES</v>
      </c>
      <c r="N3" s="252" t="str">
        <f>+'Tabla Homol.Dic.2016-Nov.2017'!$A16</f>
        <v>ART. 5 LEY 20008 JUECES</v>
      </c>
      <c r="O3" s="252" t="str">
        <f>+'Tabla Homol.Dic.2016-Nov.2017'!$A17</f>
        <v>ASIG. PROFESIONAL</v>
      </c>
      <c r="P3" s="253" t="str">
        <f>+'Tabla Homol.Dic.2016-Nov.2017'!$A18</f>
        <v>TOTAL BRUTO</v>
      </c>
      <c r="Q3" s="253" t="s">
        <v>70</v>
      </c>
      <c r="R3" s="263"/>
      <c r="S3" s="263"/>
      <c r="T3" s="273"/>
    </row>
    <row r="4" spans="1:92" x14ac:dyDescent="0.25">
      <c r="A4" s="220"/>
      <c r="B4" s="251">
        <v>1</v>
      </c>
      <c r="C4" s="240">
        <f>+'EUS 2021'!C4*'EUS 2022'!$B$1+1</f>
        <v>704793.20263846393</v>
      </c>
      <c r="D4" s="240">
        <f>+'EUS 2021'!D4*'EUS 2022'!$B$1</f>
        <v>151530.62759452802</v>
      </c>
      <c r="E4" s="240">
        <f>+'EUS 2021'!E4*'EUS 2022'!$B$1</f>
        <v>2617696.4754199041</v>
      </c>
      <c r="F4" s="240">
        <f>+'EUS 2021'!F4*'EUS 2022'!$B$1</f>
        <v>197341.50652070399</v>
      </c>
      <c r="G4" s="240">
        <f>+'EUS 2021'!G4*'EUS 2022'!$B$1</f>
        <v>233967.02566067199</v>
      </c>
      <c r="H4" s="240">
        <f>+'EUS 2021'!H4*'EUS 2022'!$B$1</f>
        <v>21787.902575712</v>
      </c>
      <c r="I4" s="240">
        <f>+'EUS 2021'!I4*'EUS 2022'!$B$1</f>
        <v>105990.863876352</v>
      </c>
      <c r="J4" s="240">
        <f>+'EUS 2021'!J4*'EUS 2022'!$B$1</f>
        <v>0</v>
      </c>
      <c r="K4" s="240">
        <f>+'EUS 2021'!K4*'EUS 2022'!$B$1</f>
        <v>704793.26363846392</v>
      </c>
      <c r="L4" s="240">
        <f>+'EUS 2021'!L4*'EUS 2022'!$B$1</f>
        <v>2617695.4144199039</v>
      </c>
      <c r="M4" s="240">
        <f>+'EUS 2021'!M4*'EUS 2022'!$B$1</f>
        <v>0</v>
      </c>
      <c r="N4" s="240">
        <f>+'EUS 2021'!N4*'EUS 2022'!$B$1</f>
        <v>0</v>
      </c>
      <c r="O4" s="240">
        <f>+'EUS 2021'!O4*'EUS 2022'!$B$1</f>
        <v>0</v>
      </c>
      <c r="P4" s="254">
        <f>+'EUS 2021'!P4*'EUS 2022'!$B$1</f>
        <v>7355596.3433447052</v>
      </c>
      <c r="Q4" s="240">
        <f>+'EUS 2021'!Q4*'EUS 2022'!$B$1</f>
        <v>0</v>
      </c>
    </row>
    <row r="5" spans="1:92" x14ac:dyDescent="0.25">
      <c r="A5" s="220"/>
      <c r="B5" s="251">
        <v>2</v>
      </c>
      <c r="C5" s="240">
        <f>+'EUS 2021'!C5*'EUS 2022'!$B$1+1</f>
        <v>665211.44327046396</v>
      </c>
      <c r="D5" s="240">
        <f>+'EUS 2021'!D5*'EUS 2022'!$B$1</f>
        <v>143020.86344582398</v>
      </c>
      <c r="E5" s="240">
        <f>+'EUS 2021'!E5*'EUS 2022'!$B$1</f>
        <v>2504373.595319232</v>
      </c>
      <c r="F5" s="240">
        <f>+'EUS 2021'!F5*'EUS 2022'!$B$1</f>
        <v>186258.31681766399</v>
      </c>
      <c r="G5" s="240">
        <f>+'EUS 2021'!G5*'EUS 2022'!$B$1-1</f>
        <v>240432.64214105601</v>
      </c>
      <c r="H5" s="240">
        <f>+'EUS 2021'!H5*'EUS 2022'!$B$1</f>
        <v>21787.902575712</v>
      </c>
      <c r="I5" s="240">
        <f>+'EUS 2021'!I5*'EUS 2022'!$B$1+1</f>
        <v>109346.101229728</v>
      </c>
      <c r="J5" s="240">
        <f>+'EUS 2021'!J5*'EUS 2022'!$B$1</f>
        <v>0</v>
      </c>
      <c r="K5" s="240">
        <f>+'EUS 2021'!K5*'EUS 2022'!$B$1</f>
        <v>0</v>
      </c>
      <c r="L5" s="240">
        <f>+'EUS 2021'!L5*'EUS 2022'!$B$1</f>
        <v>0</v>
      </c>
      <c r="M5" s="240">
        <f>+'EUS 2021'!M5*'EUS 2022'!$B$1</f>
        <v>0</v>
      </c>
      <c r="N5" s="240">
        <f>+'EUS 2021'!N5*'EUS 2022'!$B$1</f>
        <v>0</v>
      </c>
      <c r="O5" s="240">
        <f>+'EUS 2021'!O5*'EUS 2022'!$B$1</f>
        <v>0</v>
      </c>
      <c r="P5" s="254">
        <f>+'EUS 2021'!P5*'EUS 2022'!$B$1</f>
        <v>3870429.8647996802</v>
      </c>
      <c r="Q5" s="240">
        <f>+'EUS 2021'!Q5*'EUS 2022'!$B$1</f>
        <v>0</v>
      </c>
    </row>
    <row r="6" spans="1:92" x14ac:dyDescent="0.25">
      <c r="A6" s="220"/>
      <c r="B6" s="251">
        <v>3</v>
      </c>
      <c r="C6" s="240">
        <f>+'EUS 2021'!C6*'EUS 2022'!$B$1</f>
        <v>702353.25022729603</v>
      </c>
      <c r="D6" s="240">
        <f>+'EUS 2021'!D6*'EUS 2022'!$B$1</f>
        <v>151005.74855183999</v>
      </c>
      <c r="E6" s="240">
        <f>+'EUS 2021'!E6*'EUS 2022'!$B$1</f>
        <v>2065109.4819351358</v>
      </c>
      <c r="F6" s="240">
        <f>+'EUS 2021'!F6*'EUS 2022'!$B$1</f>
        <v>196659.38065737599</v>
      </c>
      <c r="G6" s="240">
        <f>+'EUS 2021'!G6*'EUS 2022'!$B$1</f>
        <v>241320.75456246399</v>
      </c>
      <c r="H6" s="240">
        <f>+'EUS 2021'!H6*'EUS 2022'!$B$1</f>
        <v>21787.902575712</v>
      </c>
      <c r="I6" s="240">
        <f>+'EUS 2021'!I6*'EUS 2022'!$B$1</f>
        <v>109784.307866688</v>
      </c>
      <c r="J6" s="240">
        <f>+'EUS 2021'!J6*'EUS 2022'!$B$1-1</f>
        <v>29886.717069087998</v>
      </c>
      <c r="K6" s="240">
        <f>+'EUS 2021'!K6*'EUS 2022'!$B$1</f>
        <v>0</v>
      </c>
      <c r="L6" s="240">
        <f>+'EUS 2021'!L6*'EUS 2022'!$B$1</f>
        <v>0</v>
      </c>
      <c r="M6" s="240">
        <f>+'EUS 2021'!M6*'EUS 2022'!$B$1</f>
        <v>830239.35484089609</v>
      </c>
      <c r="N6" s="240">
        <f>+'EUS 2021'!N6*'EUS 2022'!$B$1</f>
        <v>553492.54174032004</v>
      </c>
      <c r="O6" s="240">
        <f>+'EUS 2021'!O6*'EUS 2022'!$B$1+1</f>
        <v>561888.35304083186</v>
      </c>
      <c r="P6" s="254">
        <f>+'EUS 2021'!P6*'EUS 2022'!$B$1</f>
        <v>5463528.8540676478</v>
      </c>
      <c r="Q6" s="240">
        <f>+'EUS 2021'!Q6*'EUS 2022'!$B$1</f>
        <v>280945.79852041596</v>
      </c>
    </row>
    <row r="7" spans="1:92" x14ac:dyDescent="0.25">
      <c r="A7" s="220"/>
      <c r="B7" s="251">
        <v>4</v>
      </c>
      <c r="C7" s="240">
        <f>+'EUS 2021'!C7*'EUS 2022'!$B$1+1</f>
        <v>662616.32849948795</v>
      </c>
      <c r="D7" s="240">
        <f>+'EUS 2021'!D7*'EUS 2022'!$B$1</f>
        <v>142462.36611734401</v>
      </c>
      <c r="E7" s="240">
        <f>+'EUS 2021'!E7*'EUS 2022'!$B$1</f>
        <v>2003606.4313090881</v>
      </c>
      <c r="F7" s="240">
        <f>+'EUS 2021'!F7*'EUS 2022'!$B$1</f>
        <v>185533.89698188801</v>
      </c>
      <c r="G7" s="240">
        <f>+'EUS 2021'!G7*'EUS 2022'!$B$1</f>
        <v>246934.98482889601</v>
      </c>
      <c r="H7" s="240">
        <f>+'EUS 2021'!H7*'EUS 2022'!$B$1</f>
        <v>21787.902575712</v>
      </c>
      <c r="I7" s="240">
        <f>+'EUS 2021'!I7*'EUS 2022'!$B$1+1</f>
        <v>112685.13267062401</v>
      </c>
      <c r="J7" s="240">
        <f>+'EUS 2021'!J7*'EUS 2022'!$B$1-1</f>
        <v>29886.717069087998</v>
      </c>
      <c r="K7" s="240">
        <f>+'EUS 2021'!K7*'EUS 2022'!$B$1</f>
        <v>0</v>
      </c>
      <c r="L7" s="240">
        <f>+'EUS 2021'!L7*'EUS 2022'!$B$1</f>
        <v>0</v>
      </c>
      <c r="M7" s="240">
        <f>+'EUS 2021'!M7*'EUS 2022'!$B$1</f>
        <v>0</v>
      </c>
      <c r="N7" s="240">
        <f>+'EUS 2021'!N7*'EUS 2022'!$B$1</f>
        <v>0</v>
      </c>
      <c r="O7" s="240">
        <f>+'EUS 2021'!O7*'EUS 2022'!$B$1-1</f>
        <v>530087.76906409604</v>
      </c>
      <c r="P7" s="254">
        <f>+'EUS 2021'!P7*'EUS 2022'!$B$1</f>
        <v>3935597.2851162241</v>
      </c>
      <c r="Q7" s="240">
        <f>+'EUS 2021'!Q7*'EUS 2022'!$B$1</f>
        <v>265044.396262464</v>
      </c>
      <c r="R7" s="222">
        <f>+P7*21%</f>
        <v>826475.42987440701</v>
      </c>
      <c r="S7" s="222">
        <f>+P7-R7</f>
        <v>3109121.855241817</v>
      </c>
      <c r="T7" s="244">
        <f t="shared" ref="T7:T11" si="0">+P7-O7</f>
        <v>3405509.5160521278</v>
      </c>
      <c r="U7" s="220">
        <f t="shared" ref="U7:U13" si="1">+U8-1</f>
        <v>4</v>
      </c>
    </row>
    <row r="8" spans="1:92" x14ac:dyDescent="0.25">
      <c r="A8" s="220"/>
      <c r="B8" s="251">
        <v>5</v>
      </c>
      <c r="C8" s="240">
        <f>+'EUS 2021'!C8*'EUS 2022'!$B$1</f>
        <v>625132.04776307207</v>
      </c>
      <c r="D8" s="240">
        <f>+'EUS 2021'!D8*'EUS 2022'!$B$1</f>
        <v>134402.65321391998</v>
      </c>
      <c r="E8" s="240">
        <f>+'EUS 2021'!E8*'EUS 2022'!$B$1</f>
        <v>1722052.25026192</v>
      </c>
      <c r="F8" s="240">
        <f>+'EUS 2021'!F8*'EUS 2022'!$B$1</f>
        <v>175037.40058896001</v>
      </c>
      <c r="G8" s="240">
        <f>+'EUS 2021'!G8*'EUS 2022'!$B$1</f>
        <v>252570.92777279997</v>
      </c>
      <c r="H8" s="240">
        <f>+'EUS 2021'!H8*'EUS 2022'!$B$1</f>
        <v>21787.902575712</v>
      </c>
      <c r="I8" s="240">
        <f>+'EUS 2021'!I8*'EUS 2022'!$B$1</f>
        <v>115632.78167283199</v>
      </c>
      <c r="J8" s="240">
        <f>+'EUS 2021'!J8*'EUS 2022'!$B$1-1</f>
        <v>29886.717069087998</v>
      </c>
      <c r="K8" s="240">
        <f>+'EUS 2021'!K8*'EUS 2022'!$B$1</f>
        <v>0</v>
      </c>
      <c r="L8" s="240">
        <f>+'EUS 2021'!L8*'EUS 2022'!$B$1</f>
        <v>0</v>
      </c>
      <c r="M8" s="240">
        <f>+'EUS 2021'!M8*'EUS 2022'!$B$1</f>
        <v>0</v>
      </c>
      <c r="N8" s="240">
        <f>+'EUS 2021'!N8*'EUS 2022'!$B$1</f>
        <v>0</v>
      </c>
      <c r="O8" s="240">
        <f>+'EUS 2021'!O8*'EUS 2022'!$B$1</f>
        <v>528371.00656703999</v>
      </c>
      <c r="P8" s="254">
        <f>+'EUS 2021'!P8*'EUS 2022'!$B$1</f>
        <v>3604874.6874853442</v>
      </c>
      <c r="Q8" s="240">
        <f>+'EUS 2021'!Q8*'EUS 2022'!$B$1</f>
        <v>264185.50328352</v>
      </c>
      <c r="R8" s="222">
        <f>+P8*21%</f>
        <v>757023.68437192228</v>
      </c>
      <c r="S8" s="222">
        <f>+P8-R8</f>
        <v>2847851.0031134221</v>
      </c>
      <c r="T8" s="244">
        <f t="shared" si="0"/>
        <v>3076503.6809183042</v>
      </c>
      <c r="U8" s="220">
        <f t="shared" si="1"/>
        <v>5</v>
      </c>
    </row>
    <row r="9" spans="1:92" x14ac:dyDescent="0.25">
      <c r="A9" s="220"/>
      <c r="B9" s="251">
        <v>6</v>
      </c>
      <c r="C9" s="240">
        <f>+'EUS 2021'!C9*'EUS 2022'!$B$1</f>
        <v>589700.54345996806</v>
      </c>
      <c r="D9" s="240">
        <f>+'EUS 2021'!D9*'EUS 2022'!$B$1</f>
        <v>126786.484790784</v>
      </c>
      <c r="E9" s="240">
        <f>+'EUS 2021'!E9*'EUS 2022'!$B$1+1</f>
        <v>1455270.369442432</v>
      </c>
      <c r="F9" s="240">
        <f>+'EUS 2021'!F9*'EUS 2022'!$B$1</f>
        <v>165115.66843699198</v>
      </c>
      <c r="G9" s="240">
        <f>+'EUS 2021'!G9*'EUS 2022'!$B$1-1</f>
        <v>282315.58047289599</v>
      </c>
      <c r="H9" s="240">
        <f>+'EUS 2021'!H9*'EUS 2022'!$B$1</f>
        <v>21786.841575711998</v>
      </c>
      <c r="I9" s="240">
        <f>+'EUS 2021'!I9*'EUS 2022'!$B$1</f>
        <v>107585.021299392</v>
      </c>
      <c r="J9" s="261">
        <f>+'EUS 2021'!J9*'EUS 2022'!$B$1</f>
        <v>34433.693999999996</v>
      </c>
      <c r="K9" s="240">
        <f>+'EUS 2021'!K9*'EUS 2022'!$B$1</f>
        <v>0</v>
      </c>
      <c r="L9" s="240">
        <f>+'EUS 2021'!L9*'EUS 2022'!$B$1</f>
        <v>0</v>
      </c>
      <c r="M9" s="240">
        <f>+'EUS 2021'!M9*'EUS 2022'!$B$1</f>
        <v>0</v>
      </c>
      <c r="N9" s="240">
        <f>+'EUS 2021'!N9*'EUS 2022'!$B$1</f>
        <v>0</v>
      </c>
      <c r="O9" s="240">
        <f>+'EUS 2021'!O9*'EUS 2022'!$B$1</f>
        <v>471755.64437164797</v>
      </c>
      <c r="P9" s="254">
        <f>+'EUS 2021'!P9*'EUS 2022'!$B$1</f>
        <v>3254682.7645375682</v>
      </c>
      <c r="Q9" s="240">
        <f>+'EUS 2021'!Q9*'EUS 2022'!$B$1</f>
        <v>235876.761185824</v>
      </c>
      <c r="R9" s="222">
        <f t="shared" ref="R9:R20" si="2">+P9*21%</f>
        <v>683483.38055288931</v>
      </c>
      <c r="S9" s="222">
        <f t="shared" ref="S9:S20" si="3">+P9-R9</f>
        <v>2571199.3839846789</v>
      </c>
      <c r="T9" s="244">
        <f t="shared" si="0"/>
        <v>2782927.1201659204</v>
      </c>
      <c r="U9" s="220">
        <f t="shared" si="1"/>
        <v>6</v>
      </c>
    </row>
    <row r="10" spans="1:92" x14ac:dyDescent="0.25">
      <c r="A10" s="222"/>
      <c r="B10" s="251">
        <v>7</v>
      </c>
      <c r="C10" s="240">
        <f>+'EUS 2021'!C10*'EUS 2022'!$B$1-1</f>
        <v>551063.69923839998</v>
      </c>
      <c r="D10" s="240">
        <f>+'EUS 2021'!D10*'EUS 2022'!$B$1</f>
        <v>118479.36936729601</v>
      </c>
      <c r="E10" s="240">
        <f>+'EUS 2021'!E10*'EUS 2022'!$B$1</f>
        <v>1106410.6700317441</v>
      </c>
      <c r="F10" s="240">
        <f>+'EUS 2021'!F10*'EUS 2022'!$B$1</f>
        <v>154297.818706752</v>
      </c>
      <c r="G10" s="240">
        <f>+'EUS 2021'!G10*'EUS 2022'!$B$1</f>
        <v>197363.77319296001</v>
      </c>
      <c r="H10" s="240">
        <f>+'EUS 2021'!H10*'EUS 2022'!$B$1</f>
        <v>22088.721743424001</v>
      </c>
      <c r="I10" s="240">
        <f>+'EUS 2021'!I10*'EUS 2022'!$B$1</f>
        <v>81344.897932032007</v>
      </c>
      <c r="J10" s="240">
        <f>+'EUS 2021'!J10*'EUS 2022'!$B$1</f>
        <v>34843.251679487999</v>
      </c>
      <c r="K10" s="240">
        <f>+'EUS 2021'!K10*'EUS 2022'!$B$1</f>
        <v>0</v>
      </c>
      <c r="L10" s="240">
        <f>+'EUS 2021'!L10*'EUS 2022'!$B$1</f>
        <v>0</v>
      </c>
      <c r="M10" s="240">
        <f>+'EUS 2021'!M10*'EUS 2022'!$B$1</f>
        <v>0</v>
      </c>
      <c r="N10" s="240">
        <f>+'EUS 2021'!N10*'EUS 2022'!$B$1</f>
        <v>0</v>
      </c>
      <c r="O10" s="240">
        <f>+'EUS 2021'!O10*'EUS 2022'!$B$1</f>
        <v>436403.73985350394</v>
      </c>
      <c r="P10" s="254">
        <f>+'EUS 2021'!P10*'EUS 2022'!$B$1</f>
        <v>2702298.0027456004</v>
      </c>
      <c r="Q10" s="240">
        <f>+'EUS 2021'!Q10*'EUS 2022'!$B$1</f>
        <v>218202.40042675199</v>
      </c>
      <c r="R10" s="222">
        <f t="shared" si="2"/>
        <v>567482.58057657606</v>
      </c>
      <c r="S10" s="222">
        <f t="shared" si="3"/>
        <v>2134815.4221690241</v>
      </c>
      <c r="T10" s="244">
        <f t="shared" si="0"/>
        <v>2265894.2628920963</v>
      </c>
      <c r="U10" s="220">
        <f t="shared" si="1"/>
        <v>7</v>
      </c>
    </row>
    <row r="11" spans="1:92" x14ac:dyDescent="0.25">
      <c r="A11" s="220"/>
      <c r="B11" s="251">
        <v>8</v>
      </c>
      <c r="C11" s="240">
        <f>+'EUS 2021'!C11*'EUS 2022'!$B$1</f>
        <v>519817.81177961198</v>
      </c>
      <c r="D11" s="240">
        <f>+'EUS 2021'!D11*'EUS 2022'!$B$1</f>
        <v>111760.31577755199</v>
      </c>
      <c r="E11" s="240">
        <f>+'EUS 2021'!E11*'EUS 2022'!$B$1+1</f>
        <v>865507.19803413993</v>
      </c>
      <c r="F11" s="240">
        <f>+'EUS 2021'!F11*'EUS 2022'!$B$1</f>
        <v>145548.73502457602</v>
      </c>
      <c r="G11" s="240">
        <f>+'EUS 2021'!G11*'EUS 2022'!$B$1-1</f>
        <v>153376.51310829996</v>
      </c>
      <c r="H11" s="240">
        <f>+'EUS 2021'!H11*'EUS 2022'!$B$1</f>
        <v>22505.076617555995</v>
      </c>
      <c r="I11" s="240">
        <f>+'EUS 2021'!I11*'EUS 2022'!$B$1</f>
        <v>63235.050355315994</v>
      </c>
      <c r="J11" s="240">
        <f>+'EUS 2021'!J11*'EUS 2022'!$B$1</f>
        <v>35500.019320271997</v>
      </c>
      <c r="K11" s="240">
        <f>+'EUS 2021'!K11*'EUS 2022'!$B$1</f>
        <v>0</v>
      </c>
      <c r="L11" s="240">
        <f>+'EUS 2021'!L11*'EUS 2022'!$B$1</f>
        <v>0</v>
      </c>
      <c r="M11" s="240">
        <f>+'EUS 2021'!M11*'EUS 2022'!$B$1</f>
        <v>0</v>
      </c>
      <c r="N11" s="240">
        <f>+'EUS 2021'!N11*'EUS 2022'!$B$1</f>
        <v>0</v>
      </c>
      <c r="O11" s="240">
        <f>+'EUS 2021'!O11*'EUS 2022'!$B$1-1</f>
        <v>398781.65423869598</v>
      </c>
      <c r="P11" s="254">
        <f>+'EUS 2021'!P11*'EUS 2022'!$B$1</f>
        <v>2273183.5465180795</v>
      </c>
      <c r="Q11" s="240">
        <f>+'EUS 2021'!Q11*'EUS 2022'!$B$1</f>
        <v>199391.32711934799</v>
      </c>
      <c r="R11" s="222">
        <f t="shared" si="2"/>
        <v>477368.54476879665</v>
      </c>
      <c r="S11" s="222">
        <f t="shared" si="3"/>
        <v>1795815.0017492827</v>
      </c>
      <c r="T11" s="244">
        <f t="shared" si="0"/>
        <v>1874401.8922793835</v>
      </c>
      <c r="U11" s="220">
        <f t="shared" si="1"/>
        <v>8</v>
      </c>
    </row>
    <row r="12" spans="1:92" x14ac:dyDescent="0.25">
      <c r="A12" s="220"/>
      <c r="B12" s="251">
        <v>9</v>
      </c>
      <c r="C12" s="240">
        <f>+'EUS 2021'!C12*'EUS 2022'!$B$1-1</f>
        <v>481264.42347535602</v>
      </c>
      <c r="D12" s="240">
        <f>+'EUS 2021'!D12*'EUS 2022'!$B$1</f>
        <v>103472.273276268</v>
      </c>
      <c r="E12" s="240">
        <f>+'EUS 2021'!E12*'EUS 2022'!$B$1</f>
        <v>665038.34076919989</v>
      </c>
      <c r="F12" s="240">
        <f>+'EUS 2021'!F12*'EUS 2022'!$B$1</f>
        <v>134753.78089768399</v>
      </c>
      <c r="G12" s="240">
        <f>+'EUS 2021'!G12*'EUS 2022'!$B$1-1</f>
        <v>116935.50265347199</v>
      </c>
      <c r="H12" s="240">
        <f>+'EUS 2021'!H12*'EUS 2022'!$B$1</f>
        <v>22506.137617555996</v>
      </c>
      <c r="I12" s="240">
        <f>+'EUS 2021'!I12*'EUS 2022'!$B$1</f>
        <v>48201.480858595998</v>
      </c>
      <c r="J12" s="240">
        <f>+'EUS 2021'!J12*'EUS 2022'!$B$1</f>
        <v>35500.019320271997</v>
      </c>
      <c r="K12" s="240">
        <f>+'EUS 2021'!K12*'EUS 2022'!$B$1</f>
        <v>0</v>
      </c>
      <c r="L12" s="240">
        <f>+'EUS 2021'!L12*'EUS 2022'!$B$1</f>
        <v>0</v>
      </c>
      <c r="M12" s="240">
        <f>+'EUS 2021'!M12*'EUS 2022'!$B$1</f>
        <v>0</v>
      </c>
      <c r="N12" s="240">
        <f>+'EUS 2021'!N12*'EUS 2022'!$B$1</f>
        <v>0</v>
      </c>
      <c r="O12" s="240">
        <f>+'EUS 2021'!O12*'EUS 2022'!$B$1</f>
        <v>360881.01806171995</v>
      </c>
      <c r="P12" s="254">
        <f>+'EUS 2021'!P12*'EUS 2022'!$B$1</f>
        <v>1968551.7939301238</v>
      </c>
      <c r="Q12" s="240">
        <f>+'EUS 2021'!Q12*'EUS 2022'!$B$1</f>
        <v>180439.44803085999</v>
      </c>
      <c r="R12" s="222">
        <f t="shared" si="2"/>
        <v>413395.876725326</v>
      </c>
      <c r="S12" s="222">
        <f t="shared" si="3"/>
        <v>1555155.9172047977</v>
      </c>
      <c r="T12" s="244">
        <f>+P12-O12</f>
        <v>1607670.7758684037</v>
      </c>
      <c r="U12" s="220">
        <f t="shared" si="1"/>
        <v>9</v>
      </c>
    </row>
    <row r="13" spans="1:92" s="256" customFormat="1" x14ac:dyDescent="0.25">
      <c r="A13" s="220"/>
      <c r="B13" s="251">
        <v>10</v>
      </c>
      <c r="C13" s="240">
        <f>+'EUS 2021'!C13*'EUS 2022'!$B$1</f>
        <v>445648.84865790396</v>
      </c>
      <c r="D13" s="240">
        <f>+'EUS 2021'!D13*'EUS 2022'!$B$1</f>
        <v>95813.759074175978</v>
      </c>
      <c r="E13" s="240">
        <f>+'EUS 2021'!E13*'EUS 2022'!$B$1</f>
        <v>502695.09010443592</v>
      </c>
      <c r="F13" s="240">
        <f>+'EUS 2021'!F13*'EUS 2022'!$B$1</f>
        <v>124781.02209393599</v>
      </c>
      <c r="G13" s="240">
        <f>+'EUS 2021'!G13*'EUS 2022'!$B$1</f>
        <v>87392.417876087988</v>
      </c>
      <c r="H13" s="240">
        <f>+'EUS 2021'!H13*'EUS 2022'!$B$1</f>
        <v>22506.137617555996</v>
      </c>
      <c r="I13" s="240">
        <f>+'EUS 2021'!I13*'EUS 2022'!$B$1</f>
        <v>36048.955464227998</v>
      </c>
      <c r="J13" s="240">
        <f>+'EUS 2021'!J13*'EUS 2022'!$B$1</f>
        <v>35500.019320271997</v>
      </c>
      <c r="K13" s="240">
        <f>+'EUS 2021'!K13*'EUS 2022'!$B$1</f>
        <v>0</v>
      </c>
      <c r="L13" s="240">
        <f>+'EUS 2021'!L13*'EUS 2022'!$B$1</f>
        <v>0</v>
      </c>
      <c r="M13" s="240">
        <f>+'EUS 2021'!M13*'EUS 2022'!$B$1</f>
        <v>0</v>
      </c>
      <c r="N13" s="240">
        <f>+'EUS 2021'!N13*'EUS 2022'!$B$1</f>
        <v>0</v>
      </c>
      <c r="O13" s="240">
        <f>+'EUS 2021'!O13*'EUS 2022'!$B$1</f>
        <v>326584.10664114793</v>
      </c>
      <c r="P13" s="254">
        <f>+'EUS 2021'!P13*'EUS 2022'!$B$1</f>
        <v>1676969.2958497438</v>
      </c>
      <c r="Q13" s="240">
        <f>+'EUS 2021'!Q13*'EUS 2022'!$B$1</f>
        <v>163293.08474201598</v>
      </c>
      <c r="R13" s="222">
        <f t="shared" si="2"/>
        <v>352163.55212844617</v>
      </c>
      <c r="S13" s="222">
        <f>+P13-R13</f>
        <v>1324805.7437212975</v>
      </c>
      <c r="T13" s="244">
        <f>+P13-O13</f>
        <v>1350385.1892085958</v>
      </c>
      <c r="U13" s="220">
        <f t="shared" si="1"/>
        <v>10</v>
      </c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  <c r="CB13" s="220"/>
      <c r="CC13" s="220"/>
      <c r="CD13" s="220"/>
      <c r="CE13" s="220"/>
      <c r="CF13" s="220"/>
      <c r="CG13" s="220"/>
      <c r="CH13" s="220"/>
      <c r="CI13" s="220"/>
      <c r="CJ13" s="220"/>
      <c r="CK13" s="220"/>
      <c r="CL13" s="220"/>
      <c r="CM13" s="220"/>
      <c r="CN13" s="220"/>
    </row>
    <row r="14" spans="1:92" x14ac:dyDescent="0.25">
      <c r="A14" s="220"/>
      <c r="B14" s="251">
        <v>11</v>
      </c>
      <c r="C14" s="240">
        <f>+'EUS 2021'!C14*'EUS 2022'!$B$1-1</f>
        <v>412664.82237728394</v>
      </c>
      <c r="D14" s="240">
        <f>+'EUS 2021'!D14*'EUS 2022'!$B$1</f>
        <v>88722.044372780001</v>
      </c>
      <c r="E14" s="240">
        <f>+'EUS 2021'!E14*'EUS 2022'!$B$1</f>
        <v>379841.91756425198</v>
      </c>
      <c r="F14" s="240">
        <f>+'EUS 2021'!F14*'EUS 2022'!$B$1</f>
        <v>115546.44682963198</v>
      </c>
      <c r="G14" s="240">
        <f>+'EUS 2021'!G14*'EUS 2022'!$B$1</f>
        <v>65137.195452515989</v>
      </c>
      <c r="H14" s="240">
        <f>+'EUS 2021'!H14*'EUS 2022'!$B$1</f>
        <v>22506.137617555996</v>
      </c>
      <c r="I14" s="240">
        <f>+'EUS 2021'!I14*'EUS 2022'!$B$1+1</f>
        <v>26835.483870895994</v>
      </c>
      <c r="J14" s="240">
        <f>+'EUS 2021'!J14*'EUS 2022'!$B$1</f>
        <v>35500.019320271997</v>
      </c>
      <c r="K14" s="240">
        <f>+'EUS 2021'!K14*'EUS 2022'!$B$1</f>
        <v>0</v>
      </c>
      <c r="L14" s="240">
        <f>+'EUS 2021'!L14*'EUS 2022'!$B$1</f>
        <v>0</v>
      </c>
      <c r="M14" s="240">
        <f>+'EUS 2021'!M14*'EUS 2022'!$B$1</f>
        <v>0</v>
      </c>
      <c r="N14" s="240">
        <f>+'EUS 2021'!N14*'EUS 2022'!$B$1</f>
        <v>0</v>
      </c>
      <c r="O14" s="240">
        <f>+'EUS 2021'!O14*'EUS 2022'!$B$1-1</f>
        <v>295556.81737083202</v>
      </c>
      <c r="P14" s="254">
        <f>+'EUS 2021'!P14*'EUS 2022'!$B$1</f>
        <v>1442308.70177602</v>
      </c>
      <c r="Q14" s="240">
        <f>+'EUS 2021'!Q14*'EUS 2022'!$B$1</f>
        <v>147777.847685416</v>
      </c>
      <c r="R14" s="222">
        <f t="shared" si="2"/>
        <v>302884.82737296418</v>
      </c>
      <c r="S14" s="222">
        <f t="shared" si="3"/>
        <v>1139423.8744030558</v>
      </c>
      <c r="T14" s="244">
        <f>+P14-O14</f>
        <v>1146751.884405188</v>
      </c>
      <c r="U14" s="220">
        <f>+U15-1</f>
        <v>11</v>
      </c>
    </row>
    <row r="15" spans="1:92" x14ac:dyDescent="0.25">
      <c r="A15" s="220"/>
      <c r="B15" s="251">
        <v>12</v>
      </c>
      <c r="C15" s="240">
        <f>+'EUS 2021'!C15*'EUS 2022'!$B$1</f>
        <v>382096.85299587599</v>
      </c>
      <c r="D15" s="240">
        <f>+'EUS 2021'!D15*'EUS 2022'!$B$1</f>
        <v>82151.202730323988</v>
      </c>
      <c r="E15" s="240">
        <f>+'EUS 2021'!E15*'EUS 2022'!$B$1</f>
        <v>280370.96382056794</v>
      </c>
      <c r="F15" s="240">
        <f>+'EUS 2021'!F15*'EUS 2022'!$B$1</f>
        <v>106988.44646339199</v>
      </c>
      <c r="G15" s="240">
        <f>+'EUS 2021'!G15*'EUS 2022'!$B$1</f>
        <v>55089.326964879998</v>
      </c>
      <c r="H15" s="240">
        <f>+'EUS 2021'!H15*'EUS 2022'!$B$1+1</f>
        <v>83748.485777739988</v>
      </c>
      <c r="I15" s="240">
        <f>+'EUS 2021'!I15*'EUS 2022'!$B$1</f>
        <v>21434.206414659995</v>
      </c>
      <c r="J15" s="240">
        <f>+'EUS 2021'!J15*'EUS 2022'!$B$1</f>
        <v>58650.247279527997</v>
      </c>
      <c r="K15" s="240">
        <f>+'EUS 2021'!K15*'EUS 2022'!$B$1</f>
        <v>0</v>
      </c>
      <c r="L15" s="240">
        <f>+'EUS 2021'!L15*'EUS 2022'!$B$1</f>
        <v>0</v>
      </c>
      <c r="M15" s="240">
        <f>+'EUS 2021'!M15*'EUS 2022'!$B$1</f>
        <v>0</v>
      </c>
      <c r="N15" s="240">
        <f>+'EUS 2021'!N15*'EUS 2022'!$B$1</f>
        <v>0</v>
      </c>
      <c r="O15" s="240">
        <f>+'EUS 2021'!O15*'EUS 2022'!$B$1</f>
        <v>267471.05700136401</v>
      </c>
      <c r="P15" s="254">
        <f>+'EUS 2021'!P15*'EUS 2022'!$B$1</f>
        <v>1338001.911448332</v>
      </c>
      <c r="Q15" s="240">
        <f>+'EUS 2021'!Q15*'EUS 2022'!$B$1</f>
        <v>133734.43792212399</v>
      </c>
      <c r="R15" s="222">
        <f t="shared" si="2"/>
        <v>280980.40140414971</v>
      </c>
      <c r="S15" s="222">
        <f t="shared" si="3"/>
        <v>1057021.5100441822</v>
      </c>
      <c r="T15" s="244">
        <f>+P15-O15</f>
        <v>1070530.8544469681</v>
      </c>
      <c r="U15" s="220">
        <v>12</v>
      </c>
      <c r="V15" s="220">
        <f>+S15*1.12</f>
        <v>1183864.0912494841</v>
      </c>
    </row>
    <row r="16" spans="1:92" x14ac:dyDescent="0.25">
      <c r="A16" s="220"/>
      <c r="B16" s="251">
        <v>13</v>
      </c>
      <c r="C16" s="240">
        <f>+'EUS 2021'!C16*'EUS 2022'!$B$1</f>
        <v>353780.3421033959</v>
      </c>
      <c r="D16" s="240">
        <f>+'EUS 2021'!D16*'EUS 2022'!$B$1</f>
        <v>76063.148804864002</v>
      </c>
      <c r="E16" s="240">
        <f>+'EUS 2021'!E16*'EUS 2022'!$B$1</f>
        <v>208638.22411192799</v>
      </c>
      <c r="F16" s="240">
        <f>+'EUS 2021'!F16*'EUS 2022'!$B$1</f>
        <v>99057.734082111987</v>
      </c>
      <c r="G16" s="240">
        <f>+'EUS 2021'!G16*'EUS 2022'!$B$1-1</f>
        <v>40670.666410611993</v>
      </c>
      <c r="H16" s="240">
        <f>+'EUS 2021'!H16*'EUS 2022'!$B$1</f>
        <v>81272.881237147987</v>
      </c>
      <c r="I16" s="240">
        <f>+'EUS 2021'!I16*'EUS 2022'!$B$1</f>
        <v>15467.129457727997</v>
      </c>
      <c r="J16" s="240">
        <f>+'EUS 2021'!J16*'EUS 2022'!$B$1</f>
        <v>58650.247279527997</v>
      </c>
      <c r="K16" s="240">
        <f>+'EUS 2021'!K16*'EUS 2022'!$B$1</f>
        <v>0</v>
      </c>
      <c r="L16" s="240">
        <f>+'EUS 2021'!L16*'EUS 2022'!$B$1</f>
        <v>0</v>
      </c>
      <c r="M16" s="240">
        <f>+'EUS 2021'!M16*'EUS 2022'!$B$1</f>
        <v>0</v>
      </c>
      <c r="N16" s="240">
        <f>+'EUS 2021'!N16*'EUS 2022'!$B$1</f>
        <v>0</v>
      </c>
      <c r="O16" s="240">
        <f>+'EUS 2021'!O16*'EUS 2022'!$B$1</f>
        <v>0</v>
      </c>
      <c r="P16" s="254">
        <f>+'EUS 2021'!P16*'EUS 2022'!$B$1</f>
        <v>933596.06848731579</v>
      </c>
      <c r="Q16" s="240">
        <f>+'EUS 2021'!Q16*'EUS 2022'!$B$1</f>
        <v>0</v>
      </c>
      <c r="R16" s="222">
        <f>+P16*21%</f>
        <v>196055.17438233632</v>
      </c>
      <c r="S16" s="222">
        <f>+P16-R16</f>
        <v>737540.89410497947</v>
      </c>
      <c r="T16" s="244"/>
    </row>
    <row r="17" spans="1:20" x14ac:dyDescent="0.25">
      <c r="A17" s="220"/>
      <c r="B17" s="251">
        <v>14</v>
      </c>
      <c r="C17" s="240">
        <f>+'EUS 2021'!C17*'EUS 2022'!$B$1-1</f>
        <v>327520.55983300798</v>
      </c>
      <c r="D17" s="240">
        <f>+'EUS 2021'!D17*'EUS 2022'!$B$1</f>
        <v>70415.316625991996</v>
      </c>
      <c r="E17" s="240">
        <f>+'EUS 2021'!E17*'EUS 2022'!$B$1</f>
        <v>157600.50543562</v>
      </c>
      <c r="F17" s="240">
        <f>+'EUS 2021'!F17*'EUS 2022'!$B$1</f>
        <v>91706.142929803973</v>
      </c>
      <c r="G17" s="240">
        <f>+'EUS 2021'!G17*'EUS 2022'!$B$1</f>
        <v>30666.482207615998</v>
      </c>
      <c r="H17" s="240">
        <f>+'EUS 2021'!H17*'EUS 2022'!$B$1</f>
        <v>80622.188266983983</v>
      </c>
      <c r="I17" s="240">
        <f>+'EUS 2021'!I17*'EUS 2022'!$B$1-1</f>
        <v>11433.563840127999</v>
      </c>
      <c r="J17" s="240">
        <f>+'EUS 2021'!J17*'EUS 2022'!$B$1</f>
        <v>58650.247279527997</v>
      </c>
      <c r="K17" s="240">
        <f>+'EUS 2021'!K17*'EUS 2022'!$B$1</f>
        <v>0</v>
      </c>
      <c r="L17" s="240">
        <f>+'EUS 2021'!L17*'EUS 2022'!$B$1</f>
        <v>0</v>
      </c>
      <c r="M17" s="240">
        <f>+'EUS 2021'!M17*'EUS 2022'!$B$1</f>
        <v>0</v>
      </c>
      <c r="N17" s="240">
        <f>+'EUS 2021'!N17*'EUS 2022'!$B$1</f>
        <v>0</v>
      </c>
      <c r="O17" s="240">
        <f>+'EUS 2021'!O17*'EUS 2022'!$B$1</f>
        <v>0</v>
      </c>
      <c r="P17" s="254">
        <f>+'EUS 2021'!P17*'EUS 2022'!$B$1</f>
        <v>828613.82341867976</v>
      </c>
      <c r="Q17" s="240">
        <f>+'EUS 2021'!Q17*'EUS 2022'!$B$1</f>
        <v>0</v>
      </c>
      <c r="R17" s="222">
        <f>+P17*21%</f>
        <v>174008.90291792274</v>
      </c>
      <c r="S17" s="222">
        <f>+P17-R17</f>
        <v>654604.92050075706</v>
      </c>
    </row>
    <row r="18" spans="1:20" x14ac:dyDescent="0.25">
      <c r="A18" s="220"/>
      <c r="B18" s="251">
        <v>15</v>
      </c>
      <c r="C18" s="240">
        <f>+'EUS 2021'!C18*'EUS 2022'!$B$1+1</f>
        <v>303282.41899988399</v>
      </c>
      <c r="D18" s="240">
        <f>+'EUS 2021'!D18*'EUS 2022'!$B$1</f>
        <v>65204.345722359998</v>
      </c>
      <c r="E18" s="240">
        <f>+'EUS 2021'!E18*'EUS 2022'!$B$1</f>
        <v>126587.835522044</v>
      </c>
      <c r="F18" s="240">
        <f>+'EUS 2021'!F18*'EUS 2022'!$B$1</f>
        <v>84919.110963959989</v>
      </c>
      <c r="G18" s="240">
        <f>+'EUS 2021'!G18*'EUS 2022'!$B$1</f>
        <v>23780.994729795995</v>
      </c>
      <c r="H18" s="240">
        <f>+'EUS 2021'!H18*'EUS 2022'!$B$1+1</f>
        <v>69428.397206795984</v>
      </c>
      <c r="I18" s="240">
        <f>+'EUS 2021'!I18*'EUS 2022'!$B$1-1</f>
        <v>8946.7558854920007</v>
      </c>
      <c r="J18" s="240">
        <f>+'EUS 2021'!J18*'EUS 2022'!$B$1</f>
        <v>58650.247279527997</v>
      </c>
      <c r="K18" s="240">
        <f>+'EUS 2021'!K18*'EUS 2022'!$B$1</f>
        <v>0</v>
      </c>
      <c r="L18" s="240">
        <f>+'EUS 2021'!L18*'EUS 2022'!$B$1</f>
        <v>0</v>
      </c>
      <c r="M18" s="240">
        <f>+'EUS 2021'!M18*'EUS 2022'!$B$1</f>
        <v>0</v>
      </c>
      <c r="N18" s="240">
        <f>+'EUS 2021'!N18*'EUS 2022'!$B$1</f>
        <v>0</v>
      </c>
      <c r="O18" s="240">
        <f>+'EUS 2021'!O18*'EUS 2022'!$B$1</f>
        <v>0</v>
      </c>
      <c r="P18" s="254">
        <f>+'EUS 2021'!P18*'EUS 2022'!$B$1</f>
        <v>740799.10630986001</v>
      </c>
      <c r="Q18" s="240">
        <f>+'EUS 2021'!Q18*'EUS 2022'!$B$1</f>
        <v>0</v>
      </c>
      <c r="R18" s="222">
        <f t="shared" si="2"/>
        <v>155567.81232507058</v>
      </c>
      <c r="S18" s="222">
        <f t="shared" si="3"/>
        <v>585231.2939847894</v>
      </c>
    </row>
    <row r="19" spans="1:20" x14ac:dyDescent="0.25">
      <c r="A19" s="220"/>
      <c r="B19" s="251">
        <v>16</v>
      </c>
      <c r="C19" s="240">
        <f>+'EUS 2021'!C19*'EUS 2022'!$B$1</f>
        <v>280762.900496936</v>
      </c>
      <c r="D19" s="240">
        <f>+'EUS 2021'!D19*'EUS 2022'!$B$1</f>
        <v>60364.146824123993</v>
      </c>
      <c r="E19" s="240">
        <f>+'EUS 2021'!E19*'EUS 2022'!$B$1</f>
        <v>124323.99799060798</v>
      </c>
      <c r="F19" s="240">
        <f>+'EUS 2021'!F19*'EUS 2022'!$B$1</f>
        <v>78613.746557995983</v>
      </c>
      <c r="G19" s="240">
        <f>+'EUS 2021'!G19*'EUS 2022'!$B$1</f>
        <v>23161.547844647997</v>
      </c>
      <c r="H19" s="240">
        <f>+'EUS 2021'!H19*'EUS 2022'!$B$1</f>
        <v>73146.318831915982</v>
      </c>
      <c r="I19" s="240">
        <f>+'EUS 2021'!I19*'EUS 2022'!$B$1+1</f>
        <v>8691.2380630440002</v>
      </c>
      <c r="J19" s="240">
        <f>+'EUS 2021'!J19*'EUS 2022'!$B$1</f>
        <v>58650.247279527997</v>
      </c>
      <c r="K19" s="240">
        <f>+'EUS 2021'!K19*'EUS 2022'!$B$1</f>
        <v>0</v>
      </c>
      <c r="L19" s="240">
        <f>+'EUS 2021'!L19*'EUS 2022'!$B$1</f>
        <v>0</v>
      </c>
      <c r="M19" s="240">
        <f>+'EUS 2021'!M19*'EUS 2022'!$B$1</f>
        <v>0</v>
      </c>
      <c r="N19" s="240">
        <f>+'EUS 2021'!N19*'EUS 2022'!$B$1</f>
        <v>0</v>
      </c>
      <c r="O19" s="240">
        <f>+'EUS 2021'!O19*'EUS 2022'!$B$1</f>
        <v>0</v>
      </c>
      <c r="P19" s="254">
        <f>+'EUS 2021'!P19*'EUS 2022'!$B$1</f>
        <v>707715.26588879991</v>
      </c>
      <c r="Q19" s="240">
        <f>+'EUS 2021'!Q19*'EUS 2022'!$B$1</f>
        <v>0</v>
      </c>
      <c r="R19" s="222">
        <f t="shared" si="2"/>
        <v>148620.20583664798</v>
      </c>
      <c r="S19" s="222">
        <f>+P19-R19</f>
        <v>559095.06005215191</v>
      </c>
    </row>
    <row r="20" spans="1:20" x14ac:dyDescent="0.25">
      <c r="A20" s="220"/>
      <c r="B20" s="251">
        <v>17</v>
      </c>
      <c r="C20" s="240">
        <f>+'EUS 2021'!C20*'EUS 2022'!$B$1</f>
        <v>259973.96373820797</v>
      </c>
      <c r="D20" s="240">
        <f>+'EUS 2021'!D20*'EUS 2022'!$B$1</f>
        <v>55893.599774167989</v>
      </c>
      <c r="E20" s="240">
        <f>+'EUS 2021'!E20*'EUS 2022'!$B$1</f>
        <v>96122.922438191992</v>
      </c>
      <c r="F20" s="240">
        <f>+'EUS 2021'!F20*'EUS 2022'!$B$1</f>
        <v>72792.290026143979</v>
      </c>
      <c r="G20" s="240">
        <f>+'EUS 2021'!G20*'EUS 2022'!$B$1+1</f>
        <v>16692.461185516</v>
      </c>
      <c r="H20" s="240">
        <f>+'EUS 2021'!H20*'EUS 2022'!$B$1-1</f>
        <v>68049.664954115986</v>
      </c>
      <c r="I20" s="240">
        <f>+'EUS 2021'!I20*'EUS 2022'!$B$1-1</f>
        <v>6231.5541934239991</v>
      </c>
      <c r="J20" s="240">
        <f>+'EUS 2021'!J20*'EUS 2022'!$B$1</f>
        <v>58650.247279527997</v>
      </c>
      <c r="K20" s="240">
        <f>+'EUS 2021'!K20*'EUS 2022'!$B$1</f>
        <v>0</v>
      </c>
      <c r="L20" s="240">
        <f>+'EUS 2021'!L20*'EUS 2022'!$B$1</f>
        <v>0</v>
      </c>
      <c r="M20" s="240">
        <f>+'EUS 2021'!M20*'EUS 2022'!$B$1</f>
        <v>0</v>
      </c>
      <c r="N20" s="240">
        <f>+'EUS 2021'!N20*'EUS 2022'!$B$1</f>
        <v>0</v>
      </c>
      <c r="O20" s="240">
        <f>+'EUS 2021'!O20*'EUS 2022'!$B$1</f>
        <v>0</v>
      </c>
      <c r="P20" s="254">
        <f>+'EUS 2021'!P20*'EUS 2022'!$B$1</f>
        <v>634407.70358929597</v>
      </c>
      <c r="Q20" s="240">
        <f>+'EUS 2021'!Q20*'EUS 2022'!$B$1</f>
        <v>0</v>
      </c>
      <c r="R20" s="222">
        <f t="shared" si="2"/>
        <v>133225.61775375216</v>
      </c>
      <c r="S20" s="222">
        <f t="shared" si="3"/>
        <v>501182.08583554381</v>
      </c>
    </row>
    <row r="21" spans="1:20" x14ac:dyDescent="0.25">
      <c r="A21" s="220"/>
      <c r="B21" s="251">
        <v>18</v>
      </c>
      <c r="C21" s="240">
        <f>+'EUS 2021'!C21*'EUS 2022'!$B$1</f>
        <v>0</v>
      </c>
      <c r="D21" s="240">
        <f>+'EUS 2021'!D21*'EUS 2022'!$B$1</f>
        <v>0</v>
      </c>
      <c r="E21" s="240">
        <f>+'EUS 2021'!E21*'EUS 2022'!$B$1</f>
        <v>0</v>
      </c>
      <c r="F21" s="240">
        <f>+'EUS 2021'!F21*'EUS 2022'!$B$1</f>
        <v>0</v>
      </c>
      <c r="G21" s="240">
        <f>+'EUS 2021'!G21*'EUS 2022'!$B$1</f>
        <v>0</v>
      </c>
      <c r="H21" s="240">
        <f>+'EUS 2021'!H21*'EUS 2022'!$B$1</f>
        <v>0</v>
      </c>
      <c r="I21" s="240">
        <f>+'EUS 2021'!I21*'EUS 2022'!$B$1</f>
        <v>0</v>
      </c>
      <c r="J21" s="240">
        <f>+'EUS 2021'!J21*'EUS 2022'!$B$1</f>
        <v>0</v>
      </c>
      <c r="K21" s="240">
        <f>+'EUS 2021'!K21*'EUS 2022'!$B$1</f>
        <v>0</v>
      </c>
      <c r="L21" s="240">
        <f>+'EUS 2021'!L21*'EUS 2022'!$B$1</f>
        <v>0</v>
      </c>
      <c r="M21" s="240">
        <f>+'EUS 2021'!M21*'EUS 2022'!$B$1</f>
        <v>0</v>
      </c>
      <c r="N21" s="240">
        <f>+'EUS 2021'!N21*'EUS 2022'!$B$1</f>
        <v>0</v>
      </c>
      <c r="O21" s="240">
        <f>+'EUS 2021'!O21*'EUS 2022'!$B$1</f>
        <v>0</v>
      </c>
      <c r="P21" s="254">
        <f>+'EUS 2021'!P21*'EUS 2022'!$B$1</f>
        <v>0</v>
      </c>
      <c r="Q21" s="240">
        <f>+'EUS 2021'!Q21*'EUS 2022'!$B$1</f>
        <v>0</v>
      </c>
      <c r="R21" s="265"/>
      <c r="S21" s="265"/>
      <c r="T21" s="244"/>
    </row>
    <row r="22" spans="1:20" x14ac:dyDescent="0.25">
      <c r="A22" s="220"/>
      <c r="B22" s="251">
        <v>19</v>
      </c>
      <c r="C22" s="240">
        <f>+'EUS 2021'!C22*'EUS 2022'!$B$1</f>
        <v>0</v>
      </c>
      <c r="D22" s="240">
        <f>+'EUS 2021'!D22*'EUS 2022'!$B$1</f>
        <v>0</v>
      </c>
      <c r="E22" s="240">
        <f>+'EUS 2021'!E22*'EUS 2022'!$B$1</f>
        <v>0</v>
      </c>
      <c r="F22" s="240">
        <f>+'EUS 2021'!F22*'EUS 2022'!$B$1</f>
        <v>0</v>
      </c>
      <c r="G22" s="240">
        <f>+'EUS 2021'!G22*'EUS 2022'!$B$1</f>
        <v>0</v>
      </c>
      <c r="H22" s="240">
        <f>+'EUS 2021'!H22*'EUS 2022'!$B$1</f>
        <v>0</v>
      </c>
      <c r="I22" s="240">
        <f>+'EUS 2021'!I22*'EUS 2022'!$B$1</f>
        <v>0</v>
      </c>
      <c r="J22" s="240">
        <f>+'EUS 2021'!J22*'EUS 2022'!$B$1</f>
        <v>0</v>
      </c>
      <c r="K22" s="240">
        <f>+'EUS 2021'!K22*'EUS 2022'!$B$1</f>
        <v>0</v>
      </c>
      <c r="L22" s="240">
        <f>+'EUS 2021'!L22*'EUS 2022'!$B$1</f>
        <v>0</v>
      </c>
      <c r="M22" s="240">
        <f>+'EUS 2021'!M22*'EUS 2022'!$B$1</f>
        <v>0</v>
      </c>
      <c r="N22" s="240">
        <f>+'EUS 2021'!N22*'EUS 2022'!$B$1</f>
        <v>0</v>
      </c>
      <c r="O22" s="240">
        <f>+'EUS 2021'!O22*'EUS 2022'!$B$1</f>
        <v>0</v>
      </c>
      <c r="P22" s="254">
        <f>+'EUS 2021'!P22*'EUS 2022'!$B$1</f>
        <v>0</v>
      </c>
      <c r="Q22" s="240">
        <f>+'EUS 2021'!Q22*'EUS 2022'!$B$1</f>
        <v>0</v>
      </c>
      <c r="R22" s="265"/>
      <c r="S22" s="265"/>
      <c r="T22" s="244"/>
    </row>
    <row r="23" spans="1:20" x14ac:dyDescent="0.25">
      <c r="A23" s="220"/>
      <c r="B23" s="251">
        <v>20</v>
      </c>
      <c r="C23" s="240">
        <f>+'EUS 2021'!C23*'EUS 2022'!$B$1</f>
        <v>0</v>
      </c>
      <c r="D23" s="240">
        <f>+'EUS 2021'!D23*'EUS 2022'!$B$1</f>
        <v>0</v>
      </c>
      <c r="E23" s="240">
        <f>+'EUS 2021'!E23*'EUS 2022'!$B$1</f>
        <v>0</v>
      </c>
      <c r="F23" s="240">
        <f>+'EUS 2021'!F23*'EUS 2022'!$B$1</f>
        <v>0</v>
      </c>
      <c r="G23" s="240">
        <f>+'EUS 2021'!G23*'EUS 2022'!$B$1</f>
        <v>0</v>
      </c>
      <c r="H23" s="240">
        <f>+'EUS 2021'!H23*'EUS 2022'!$B$1</f>
        <v>0</v>
      </c>
      <c r="I23" s="240">
        <f>+'EUS 2021'!I23*'EUS 2022'!$B$1</f>
        <v>0</v>
      </c>
      <c r="J23" s="240">
        <f>+'EUS 2021'!J23*'EUS 2022'!$B$1</f>
        <v>0</v>
      </c>
      <c r="K23" s="240">
        <f>+'EUS 2021'!K23*'EUS 2022'!$B$1</f>
        <v>0</v>
      </c>
      <c r="L23" s="240">
        <f>+'EUS 2021'!L23*'EUS 2022'!$B$1</f>
        <v>0</v>
      </c>
      <c r="M23" s="240">
        <f>+'EUS 2021'!M23*'EUS 2022'!$B$1</f>
        <v>0</v>
      </c>
      <c r="N23" s="240">
        <f>+'EUS 2021'!N23*'EUS 2022'!$B$1</f>
        <v>0</v>
      </c>
      <c r="O23" s="240">
        <f>+'EUS 2021'!O23*'EUS 2022'!$B$1</f>
        <v>0</v>
      </c>
      <c r="P23" s="254">
        <f>+'EUS 2021'!P23*'EUS 2022'!$B$1</f>
        <v>0</v>
      </c>
      <c r="Q23" s="240">
        <f>+'EUS 2021'!Q23*'EUS 2022'!$B$1</f>
        <v>0</v>
      </c>
      <c r="R23" s="265"/>
      <c r="S23" s="267"/>
      <c r="T23" s="244"/>
    </row>
    <row r="24" spans="1:20" x14ac:dyDescent="0.25">
      <c r="R24" s="265"/>
      <c r="S24" s="265"/>
    </row>
    <row r="25" spans="1:20" x14ac:dyDescent="0.25">
      <c r="C25" s="222"/>
    </row>
    <row r="26" spans="1:20" x14ac:dyDescent="0.25">
      <c r="P26" s="222"/>
    </row>
    <row r="27" spans="1:20" x14ac:dyDescent="0.25">
      <c r="Q27" s="222"/>
    </row>
    <row r="28" spans="1:20" ht="13.5" thickBot="1" x14ac:dyDescent="0.3"/>
    <row r="29" spans="1:20" ht="13.5" thickBot="1" x14ac:dyDescent="0.3">
      <c r="A29" s="347" t="s">
        <v>79</v>
      </c>
      <c r="B29" s="348"/>
      <c r="C29" s="348"/>
      <c r="D29" s="348"/>
      <c r="E29" s="348"/>
      <c r="F29" s="349"/>
      <c r="H29" s="347" t="s">
        <v>14</v>
      </c>
      <c r="I29" s="348"/>
      <c r="J29" s="348"/>
      <c r="K29" s="348"/>
      <c r="L29" s="348"/>
      <c r="M29" s="348"/>
      <c r="N29" s="348"/>
      <c r="O29" s="348"/>
      <c r="P29" s="348"/>
      <c r="Q29" s="348"/>
      <c r="R29" s="349"/>
    </row>
    <row r="30" spans="1:20" ht="13.5" thickBot="1" x14ac:dyDescent="0.3">
      <c r="O30" s="269" t="s">
        <v>81</v>
      </c>
      <c r="P30" s="271" t="s">
        <v>82</v>
      </c>
      <c r="Q30" s="270" t="s">
        <v>83</v>
      </c>
    </row>
    <row r="31" spans="1:20" x14ac:dyDescent="0.25">
      <c r="A31" s="344" t="s">
        <v>15</v>
      </c>
      <c r="B31" s="344" t="s">
        <v>16</v>
      </c>
      <c r="C31" s="344" t="s">
        <v>67</v>
      </c>
      <c r="D31" s="337" t="s">
        <v>18</v>
      </c>
      <c r="E31" s="338"/>
      <c r="F31" s="339"/>
      <c r="G31" s="223"/>
      <c r="H31" s="344" t="s">
        <v>19</v>
      </c>
      <c r="I31" s="337" t="s">
        <v>20</v>
      </c>
      <c r="J31" s="338"/>
      <c r="K31" s="338"/>
      <c r="L31" s="339"/>
      <c r="M31" s="344" t="s">
        <v>68</v>
      </c>
      <c r="N31" s="337" t="s">
        <v>76</v>
      </c>
      <c r="O31" s="350"/>
      <c r="P31" s="350"/>
      <c r="Q31" s="350"/>
      <c r="R31" s="339"/>
    </row>
    <row r="32" spans="1:20" x14ac:dyDescent="0.25">
      <c r="A32" s="345"/>
      <c r="B32" s="345"/>
      <c r="C32" s="345"/>
      <c r="D32" s="224" t="s">
        <v>23</v>
      </c>
      <c r="E32" s="224">
        <v>0.25</v>
      </c>
      <c r="F32" s="225">
        <v>0.5</v>
      </c>
      <c r="G32" s="223"/>
      <c r="H32" s="345"/>
      <c r="I32" s="224" t="str">
        <f>+C3</f>
        <v>SUELDO BASE</v>
      </c>
      <c r="J32" s="224" t="str">
        <f>+E3</f>
        <v>ASIG MUNICIPAL</v>
      </c>
      <c r="K32" s="224" t="str">
        <f>+H3</f>
        <v>Asig Unica Ley 18,717</v>
      </c>
      <c r="L32" s="224" t="str">
        <f>+J3</f>
        <v>LEY 19529</v>
      </c>
      <c r="M32" s="345"/>
      <c r="N32" s="224" t="s">
        <v>29</v>
      </c>
      <c r="O32" s="226">
        <v>0.15</v>
      </c>
      <c r="P32" s="224">
        <v>7.5999999999999998E-2</v>
      </c>
      <c r="Q32" s="225">
        <v>0.08</v>
      </c>
      <c r="R32" s="264">
        <v>0.30599999999999999</v>
      </c>
      <c r="S32" s="262"/>
    </row>
    <row r="33" spans="1:19" x14ac:dyDescent="0.25">
      <c r="A33" s="224">
        <v>1</v>
      </c>
      <c r="B33" s="245">
        <f>VLOOKUP(A33,B3:C23,2,0)</f>
        <v>704793.20263846393</v>
      </c>
      <c r="C33" s="245">
        <f>VLOOKUP(A33,B3:E23,4,0)</f>
        <v>2617696.4754199041</v>
      </c>
      <c r="D33" s="245">
        <f>ROUND((B33+C33)/190,0)</f>
        <v>17487</v>
      </c>
      <c r="E33" s="246">
        <f>ROUND(D33*1.25,0)</f>
        <v>21859</v>
      </c>
      <c r="F33" s="246">
        <f>ROUND(D33*1.5,0)</f>
        <v>26231</v>
      </c>
      <c r="H33" s="224">
        <v>1</v>
      </c>
      <c r="I33" s="245">
        <f>VLOOKUP(H33,B4:C23,2,0)</f>
        <v>704793.20263846393</v>
      </c>
      <c r="J33" s="245">
        <f>VLOOKUP(H33,B4:E23,4,0)</f>
        <v>2617696.4754199041</v>
      </c>
      <c r="K33" s="245">
        <f>VLOOKUP(H33,B4:H23,7,0)</f>
        <v>21787.902575712</v>
      </c>
      <c r="L33" s="245">
        <f>VLOOKUP(H33,B4:J23,9,0)</f>
        <v>0</v>
      </c>
      <c r="M33" s="241">
        <f>SUM(I33:L33)</f>
        <v>3344277.5806340803</v>
      </c>
      <c r="N33" s="247">
        <f>ROUND(M33*0.306,0)</f>
        <v>1023349</v>
      </c>
      <c r="O33" s="248">
        <f>ROUND($M33*$O$32*3,0)</f>
        <v>1504925</v>
      </c>
      <c r="P33" s="248">
        <f>ROUND($M33*$P$32*3,0)</f>
        <v>762495</v>
      </c>
      <c r="Q33" s="248">
        <f>ROUND($M33*$Q$32*3,0)</f>
        <v>802627</v>
      </c>
      <c r="R33" s="249">
        <f>SUM(O33:Q33)</f>
        <v>3070047</v>
      </c>
      <c r="S33" s="222">
        <f t="shared" ref="S33:S47" si="4">+S34-1</f>
        <v>1</v>
      </c>
    </row>
    <row r="34" spans="1:19" x14ac:dyDescent="0.25">
      <c r="A34" s="224">
        <v>2</v>
      </c>
      <c r="B34" s="245">
        <f t="shared" ref="B34:B52" si="5">VLOOKUP(A34,B4:C24,2,0)</f>
        <v>665211.44327046396</v>
      </c>
      <c r="C34" s="245">
        <f t="shared" ref="C34:C52" si="6">VLOOKUP(A34,B4:E24,4,0)</f>
        <v>2504373.595319232</v>
      </c>
      <c r="D34" s="245">
        <f t="shared" ref="D34:D52" si="7">ROUND((B34+C34)/190,0)</f>
        <v>16682</v>
      </c>
      <c r="E34" s="246">
        <f t="shared" ref="E34:E52" si="8">ROUND(D34*1.25,0)</f>
        <v>20853</v>
      </c>
      <c r="F34" s="246">
        <f t="shared" ref="F34:F52" si="9">ROUND(D34*1.5,0)</f>
        <v>25023</v>
      </c>
      <c r="H34" s="224">
        <v>2</v>
      </c>
      <c r="I34" s="245">
        <f t="shared" ref="I34:I52" si="10">VLOOKUP(H34,B5:C24,2,0)</f>
        <v>665211.44327046396</v>
      </c>
      <c r="J34" s="245">
        <f t="shared" ref="J34:J52" si="11">VLOOKUP(H34,B5:E24,4,0)</f>
        <v>2504373.595319232</v>
      </c>
      <c r="K34" s="245">
        <f t="shared" ref="K34:K52" si="12">VLOOKUP(H34,B5:H24,7,0)</f>
        <v>21787.902575712</v>
      </c>
      <c r="L34" s="245">
        <f t="shared" ref="L34:L52" si="13">VLOOKUP(H34,B5:J24,9,0)</f>
        <v>0</v>
      </c>
      <c r="M34" s="241">
        <f t="shared" ref="M34:M52" si="14">SUM(I34:L34)</f>
        <v>3191372.9411654081</v>
      </c>
      <c r="N34" s="247">
        <f t="shared" ref="N34:N52" si="15">ROUND(M34*0.306,0)</f>
        <v>976560</v>
      </c>
      <c r="O34" s="248">
        <f t="shared" ref="O34:O52" si="16">ROUND($M34*$O$32*3,0)</f>
        <v>1436118</v>
      </c>
      <c r="P34" s="248">
        <f t="shared" ref="P34:P52" si="17">ROUND($M34*$P$32*3,0)</f>
        <v>727633</v>
      </c>
      <c r="Q34" s="248">
        <f t="shared" ref="Q34:Q52" si="18">ROUND($M34*$Q$32*3,0)</f>
        <v>765930</v>
      </c>
      <c r="R34" s="249">
        <f t="shared" ref="R34:R52" si="19">SUM(O34:Q34)</f>
        <v>2929681</v>
      </c>
      <c r="S34" s="222">
        <f t="shared" si="4"/>
        <v>2</v>
      </c>
    </row>
    <row r="35" spans="1:19" x14ac:dyDescent="0.25">
      <c r="A35" s="224">
        <v>3</v>
      </c>
      <c r="B35" s="245">
        <f t="shared" si="5"/>
        <v>702353.25022729603</v>
      </c>
      <c r="C35" s="245">
        <f t="shared" si="6"/>
        <v>2065109.4819351358</v>
      </c>
      <c r="D35" s="245">
        <f t="shared" si="7"/>
        <v>14566</v>
      </c>
      <c r="E35" s="246">
        <f t="shared" si="8"/>
        <v>18208</v>
      </c>
      <c r="F35" s="246">
        <f t="shared" si="9"/>
        <v>21849</v>
      </c>
      <c r="H35" s="224">
        <v>3</v>
      </c>
      <c r="I35" s="245">
        <f t="shared" si="10"/>
        <v>702353.25022729603</v>
      </c>
      <c r="J35" s="245">
        <f t="shared" si="11"/>
        <v>2065109.4819351358</v>
      </c>
      <c r="K35" s="245">
        <f t="shared" si="12"/>
        <v>21787.902575712</v>
      </c>
      <c r="L35" s="245">
        <f t="shared" si="13"/>
        <v>29886.717069087998</v>
      </c>
      <c r="M35" s="241">
        <f t="shared" si="14"/>
        <v>2819137.351807232</v>
      </c>
      <c r="N35" s="247">
        <f t="shared" si="15"/>
        <v>862656</v>
      </c>
      <c r="O35" s="248">
        <f t="shared" si="16"/>
        <v>1268612</v>
      </c>
      <c r="P35" s="248">
        <f t="shared" si="17"/>
        <v>642763</v>
      </c>
      <c r="Q35" s="248">
        <f t="shared" si="18"/>
        <v>676593</v>
      </c>
      <c r="R35" s="249">
        <f t="shared" si="19"/>
        <v>2587968</v>
      </c>
      <c r="S35" s="222">
        <f t="shared" si="4"/>
        <v>3</v>
      </c>
    </row>
    <row r="36" spans="1:19" x14ac:dyDescent="0.25">
      <c r="A36" s="224">
        <v>4</v>
      </c>
      <c r="B36" s="245">
        <f t="shared" si="5"/>
        <v>662616.32849948795</v>
      </c>
      <c r="C36" s="245">
        <f t="shared" si="6"/>
        <v>2003606.4313090881</v>
      </c>
      <c r="D36" s="245">
        <f t="shared" si="7"/>
        <v>14033</v>
      </c>
      <c r="E36" s="246">
        <f t="shared" si="8"/>
        <v>17541</v>
      </c>
      <c r="F36" s="246">
        <f t="shared" si="9"/>
        <v>21050</v>
      </c>
      <c r="H36" s="224">
        <v>4</v>
      </c>
      <c r="I36" s="245">
        <f t="shared" si="10"/>
        <v>662616.32849948795</v>
      </c>
      <c r="J36" s="245">
        <f t="shared" si="11"/>
        <v>2003606.4313090881</v>
      </c>
      <c r="K36" s="245">
        <f t="shared" si="12"/>
        <v>21787.902575712</v>
      </c>
      <c r="L36" s="245">
        <f t="shared" si="13"/>
        <v>29886.717069087998</v>
      </c>
      <c r="M36" s="241">
        <f t="shared" si="14"/>
        <v>2717897.3794533764</v>
      </c>
      <c r="N36" s="247">
        <f t="shared" si="15"/>
        <v>831677</v>
      </c>
      <c r="O36" s="248">
        <f t="shared" si="16"/>
        <v>1223054</v>
      </c>
      <c r="P36" s="248">
        <f t="shared" si="17"/>
        <v>619681</v>
      </c>
      <c r="Q36" s="248">
        <f t="shared" si="18"/>
        <v>652295</v>
      </c>
      <c r="R36" s="249">
        <f t="shared" si="19"/>
        <v>2495030</v>
      </c>
      <c r="S36" s="222">
        <f t="shared" si="4"/>
        <v>4</v>
      </c>
    </row>
    <row r="37" spans="1:19" x14ac:dyDescent="0.25">
      <c r="A37" s="224">
        <v>5</v>
      </c>
      <c r="B37" s="245">
        <f t="shared" si="5"/>
        <v>625132.04776307207</v>
      </c>
      <c r="C37" s="245">
        <f t="shared" si="6"/>
        <v>1722052.25026192</v>
      </c>
      <c r="D37" s="245">
        <f t="shared" si="7"/>
        <v>12354</v>
      </c>
      <c r="E37" s="246">
        <f t="shared" si="8"/>
        <v>15443</v>
      </c>
      <c r="F37" s="246">
        <f t="shared" si="9"/>
        <v>18531</v>
      </c>
      <c r="H37" s="224">
        <v>5</v>
      </c>
      <c r="I37" s="245">
        <f t="shared" si="10"/>
        <v>625132.04776307207</v>
      </c>
      <c r="J37" s="245">
        <f t="shared" si="11"/>
        <v>1722052.25026192</v>
      </c>
      <c r="K37" s="245">
        <f t="shared" si="12"/>
        <v>21787.902575712</v>
      </c>
      <c r="L37" s="245">
        <f t="shared" si="13"/>
        <v>29886.717069087998</v>
      </c>
      <c r="M37" s="241">
        <f t="shared" si="14"/>
        <v>2398858.9176697922</v>
      </c>
      <c r="N37" s="247">
        <f t="shared" si="15"/>
        <v>734051</v>
      </c>
      <c r="O37" s="248">
        <f t="shared" si="16"/>
        <v>1079487</v>
      </c>
      <c r="P37" s="248">
        <f t="shared" si="17"/>
        <v>546940</v>
      </c>
      <c r="Q37" s="248">
        <f t="shared" si="18"/>
        <v>575726</v>
      </c>
      <c r="R37" s="249">
        <f t="shared" si="19"/>
        <v>2202153</v>
      </c>
      <c r="S37" s="222">
        <f t="shared" si="4"/>
        <v>5</v>
      </c>
    </row>
    <row r="38" spans="1:19" x14ac:dyDescent="0.25">
      <c r="A38" s="224">
        <v>6</v>
      </c>
      <c r="B38" s="245">
        <f t="shared" si="5"/>
        <v>589700.54345996806</v>
      </c>
      <c r="C38" s="245">
        <f t="shared" si="6"/>
        <v>1455270.369442432</v>
      </c>
      <c r="D38" s="245">
        <f t="shared" si="7"/>
        <v>10763</v>
      </c>
      <c r="E38" s="246">
        <f t="shared" si="8"/>
        <v>13454</v>
      </c>
      <c r="F38" s="246">
        <f t="shared" si="9"/>
        <v>16145</v>
      </c>
      <c r="H38" s="224">
        <v>6</v>
      </c>
      <c r="I38" s="245">
        <f t="shared" si="10"/>
        <v>589700.54345996806</v>
      </c>
      <c r="J38" s="245">
        <f t="shared" si="11"/>
        <v>1455270.369442432</v>
      </c>
      <c r="K38" s="245">
        <f t="shared" si="12"/>
        <v>21786.841575711998</v>
      </c>
      <c r="L38" s="245">
        <f t="shared" si="13"/>
        <v>34433.693999999996</v>
      </c>
      <c r="M38" s="241">
        <f t="shared" si="14"/>
        <v>2101191.448478112</v>
      </c>
      <c r="N38" s="247">
        <f t="shared" si="15"/>
        <v>642965</v>
      </c>
      <c r="O38" s="249">
        <f t="shared" si="16"/>
        <v>945536</v>
      </c>
      <c r="P38" s="249">
        <f t="shared" si="17"/>
        <v>479072</v>
      </c>
      <c r="Q38" s="249">
        <f t="shared" si="18"/>
        <v>504286</v>
      </c>
      <c r="R38" s="249">
        <f t="shared" si="19"/>
        <v>1928894</v>
      </c>
      <c r="S38" s="222">
        <f t="shared" si="4"/>
        <v>6</v>
      </c>
    </row>
    <row r="39" spans="1:19" x14ac:dyDescent="0.25">
      <c r="A39" s="224">
        <v>7</v>
      </c>
      <c r="B39" s="245">
        <f t="shared" si="5"/>
        <v>551063.69923839998</v>
      </c>
      <c r="C39" s="245">
        <f t="shared" si="6"/>
        <v>1106410.6700317441</v>
      </c>
      <c r="D39" s="245">
        <f t="shared" si="7"/>
        <v>8724</v>
      </c>
      <c r="E39" s="246">
        <f t="shared" si="8"/>
        <v>10905</v>
      </c>
      <c r="F39" s="246">
        <f t="shared" si="9"/>
        <v>13086</v>
      </c>
      <c r="H39" s="224">
        <v>7</v>
      </c>
      <c r="I39" s="245">
        <f t="shared" si="10"/>
        <v>551063.69923839998</v>
      </c>
      <c r="J39" s="245">
        <f t="shared" si="11"/>
        <v>1106410.6700317441</v>
      </c>
      <c r="K39" s="245">
        <f t="shared" si="12"/>
        <v>22088.721743424001</v>
      </c>
      <c r="L39" s="245">
        <f t="shared" si="13"/>
        <v>34843.251679487999</v>
      </c>
      <c r="M39" s="241">
        <f t="shared" si="14"/>
        <v>1714406.342693056</v>
      </c>
      <c r="N39" s="247">
        <f>ROUND(M39*0.306,0)</f>
        <v>524608</v>
      </c>
      <c r="O39" s="248">
        <f t="shared" si="16"/>
        <v>771483</v>
      </c>
      <c r="P39" s="248">
        <f t="shared" si="17"/>
        <v>390885</v>
      </c>
      <c r="Q39" s="248">
        <f t="shared" si="18"/>
        <v>411458</v>
      </c>
      <c r="R39" s="249">
        <f t="shared" si="19"/>
        <v>1573826</v>
      </c>
      <c r="S39" s="222">
        <f t="shared" si="4"/>
        <v>7</v>
      </c>
    </row>
    <row r="40" spans="1:19" x14ac:dyDescent="0.25">
      <c r="A40" s="224">
        <v>8</v>
      </c>
      <c r="B40" s="245">
        <f t="shared" si="5"/>
        <v>519817.81177961198</v>
      </c>
      <c r="C40" s="245">
        <f t="shared" si="6"/>
        <v>865507.19803413993</v>
      </c>
      <c r="D40" s="245">
        <f t="shared" si="7"/>
        <v>7291</v>
      </c>
      <c r="E40" s="246">
        <f t="shared" si="8"/>
        <v>9114</v>
      </c>
      <c r="F40" s="246">
        <f t="shared" si="9"/>
        <v>10937</v>
      </c>
      <c r="H40" s="224">
        <v>8</v>
      </c>
      <c r="I40" s="245">
        <f t="shared" si="10"/>
        <v>519817.81177961198</v>
      </c>
      <c r="J40" s="245">
        <f t="shared" si="11"/>
        <v>865507.19803413993</v>
      </c>
      <c r="K40" s="245">
        <f t="shared" si="12"/>
        <v>22505.076617555995</v>
      </c>
      <c r="L40" s="245">
        <f t="shared" si="13"/>
        <v>35500.019320271997</v>
      </c>
      <c r="M40" s="241">
        <f t="shared" si="14"/>
        <v>1443330.1057515799</v>
      </c>
      <c r="N40" s="247">
        <f>ROUND(M40*0.306,0)</f>
        <v>441659</v>
      </c>
      <c r="O40" s="248">
        <f>ROUND($M40*$O$32*3,0)</f>
        <v>649499</v>
      </c>
      <c r="P40" s="248">
        <f t="shared" si="17"/>
        <v>329079</v>
      </c>
      <c r="Q40" s="248">
        <f t="shared" si="18"/>
        <v>346399</v>
      </c>
      <c r="R40" s="249">
        <f>SUM(O40:Q40)</f>
        <v>1324977</v>
      </c>
      <c r="S40" s="222">
        <f t="shared" si="4"/>
        <v>8</v>
      </c>
    </row>
    <row r="41" spans="1:19" x14ac:dyDescent="0.25">
      <c r="A41" s="224">
        <v>9</v>
      </c>
      <c r="B41" s="245">
        <f t="shared" si="5"/>
        <v>481264.42347535602</v>
      </c>
      <c r="C41" s="245">
        <f t="shared" si="6"/>
        <v>665038.34076919989</v>
      </c>
      <c r="D41" s="245">
        <f>ROUND((B41+C41)/190,0)</f>
        <v>6033</v>
      </c>
      <c r="E41" s="246">
        <f t="shared" si="8"/>
        <v>7541</v>
      </c>
      <c r="F41" s="246">
        <f t="shared" si="9"/>
        <v>9050</v>
      </c>
      <c r="G41" s="222"/>
      <c r="H41" s="224">
        <v>9</v>
      </c>
      <c r="I41" s="245">
        <f t="shared" si="10"/>
        <v>481264.42347535602</v>
      </c>
      <c r="J41" s="245">
        <f t="shared" si="11"/>
        <v>665038.34076919989</v>
      </c>
      <c r="K41" s="245">
        <f t="shared" si="12"/>
        <v>22506.137617555996</v>
      </c>
      <c r="L41" s="245">
        <f t="shared" si="13"/>
        <v>35500.019320271997</v>
      </c>
      <c r="M41" s="241">
        <f t="shared" si="14"/>
        <v>1204308.9211823838</v>
      </c>
      <c r="N41" s="247">
        <f t="shared" si="15"/>
        <v>368519</v>
      </c>
      <c r="O41" s="248">
        <f t="shared" si="16"/>
        <v>541939</v>
      </c>
      <c r="P41" s="248">
        <f t="shared" si="17"/>
        <v>274582</v>
      </c>
      <c r="Q41" s="248">
        <f t="shared" si="18"/>
        <v>289034</v>
      </c>
      <c r="R41" s="249">
        <f>SUM(O41:Q41)</f>
        <v>1105555</v>
      </c>
      <c r="S41" s="222">
        <f t="shared" si="4"/>
        <v>9</v>
      </c>
    </row>
    <row r="42" spans="1:19" x14ac:dyDescent="0.25">
      <c r="A42" s="224">
        <v>10</v>
      </c>
      <c r="B42" s="245">
        <f t="shared" si="5"/>
        <v>445648.84865790396</v>
      </c>
      <c r="C42" s="245">
        <f t="shared" si="6"/>
        <v>502695.09010443592</v>
      </c>
      <c r="D42" s="245">
        <f t="shared" si="7"/>
        <v>4991</v>
      </c>
      <c r="E42" s="246">
        <f t="shared" si="8"/>
        <v>6239</v>
      </c>
      <c r="F42" s="246">
        <f t="shared" si="9"/>
        <v>7487</v>
      </c>
      <c r="H42" s="224">
        <v>10</v>
      </c>
      <c r="I42" s="245">
        <f t="shared" si="10"/>
        <v>445648.84865790396</v>
      </c>
      <c r="J42" s="245">
        <f t="shared" si="11"/>
        <v>502695.09010443592</v>
      </c>
      <c r="K42" s="245">
        <f t="shared" si="12"/>
        <v>22506.137617555996</v>
      </c>
      <c r="L42" s="245">
        <f t="shared" si="13"/>
        <v>35500.019320271997</v>
      </c>
      <c r="M42" s="241">
        <f t="shared" si="14"/>
        <v>1006350.0957001679</v>
      </c>
      <c r="N42" s="247">
        <f t="shared" si="15"/>
        <v>307943</v>
      </c>
      <c r="O42" s="248">
        <f t="shared" si="16"/>
        <v>452858</v>
      </c>
      <c r="P42" s="248">
        <f t="shared" si="17"/>
        <v>229448</v>
      </c>
      <c r="Q42" s="248">
        <f t="shared" si="18"/>
        <v>241524</v>
      </c>
      <c r="R42" s="249">
        <f t="shared" si="19"/>
        <v>923830</v>
      </c>
      <c r="S42" s="222">
        <f t="shared" si="4"/>
        <v>10</v>
      </c>
    </row>
    <row r="43" spans="1:19" x14ac:dyDescent="0.25">
      <c r="A43" s="224">
        <v>11</v>
      </c>
      <c r="B43" s="245">
        <f t="shared" si="5"/>
        <v>412664.82237728394</v>
      </c>
      <c r="C43" s="245">
        <f t="shared" si="6"/>
        <v>379841.91756425198</v>
      </c>
      <c r="D43" s="245">
        <f t="shared" si="7"/>
        <v>4171</v>
      </c>
      <c r="E43" s="246">
        <f t="shared" si="8"/>
        <v>5214</v>
      </c>
      <c r="F43" s="246">
        <f t="shared" si="9"/>
        <v>6257</v>
      </c>
      <c r="H43" s="224">
        <v>11</v>
      </c>
      <c r="I43" s="245">
        <f t="shared" si="10"/>
        <v>412664.82237728394</v>
      </c>
      <c r="J43" s="245">
        <f t="shared" si="11"/>
        <v>379841.91756425198</v>
      </c>
      <c r="K43" s="245">
        <f t="shared" si="12"/>
        <v>22506.137617555996</v>
      </c>
      <c r="L43" s="245">
        <f t="shared" si="13"/>
        <v>35500.019320271997</v>
      </c>
      <c r="M43" s="241">
        <f t="shared" si="14"/>
        <v>850512.89687936404</v>
      </c>
      <c r="N43" s="247">
        <f t="shared" si="15"/>
        <v>260257</v>
      </c>
      <c r="O43" s="248">
        <f t="shared" si="16"/>
        <v>382731</v>
      </c>
      <c r="P43" s="248">
        <f t="shared" si="17"/>
        <v>193917</v>
      </c>
      <c r="Q43" s="248">
        <f t="shared" si="18"/>
        <v>204123</v>
      </c>
      <c r="R43" s="249">
        <f t="shared" si="19"/>
        <v>780771</v>
      </c>
      <c r="S43" s="222">
        <f t="shared" si="4"/>
        <v>11</v>
      </c>
    </row>
    <row r="44" spans="1:19" x14ac:dyDescent="0.25">
      <c r="A44" s="224">
        <v>12</v>
      </c>
      <c r="B44" s="245">
        <f t="shared" si="5"/>
        <v>382096.85299587599</v>
      </c>
      <c r="C44" s="245">
        <f t="shared" si="6"/>
        <v>280370.96382056794</v>
      </c>
      <c r="D44" s="245">
        <f t="shared" si="7"/>
        <v>3487</v>
      </c>
      <c r="E44" s="246">
        <f t="shared" si="8"/>
        <v>4359</v>
      </c>
      <c r="F44" s="246">
        <f t="shared" si="9"/>
        <v>5231</v>
      </c>
      <c r="H44" s="224">
        <v>12</v>
      </c>
      <c r="I44" s="245">
        <f t="shared" si="10"/>
        <v>382096.85299587599</v>
      </c>
      <c r="J44" s="245">
        <f t="shared" si="11"/>
        <v>280370.96382056794</v>
      </c>
      <c r="K44" s="245">
        <f t="shared" si="12"/>
        <v>83748.485777739988</v>
      </c>
      <c r="L44" s="245">
        <f t="shared" si="13"/>
        <v>58650.247279527997</v>
      </c>
      <c r="M44" s="241">
        <f t="shared" si="14"/>
        <v>804866.54987371189</v>
      </c>
      <c r="N44" s="247">
        <f t="shared" si="15"/>
        <v>246289</v>
      </c>
      <c r="O44" s="248">
        <f t="shared" si="16"/>
        <v>362190</v>
      </c>
      <c r="P44" s="248">
        <f t="shared" si="17"/>
        <v>183510</v>
      </c>
      <c r="Q44" s="248">
        <f t="shared" si="18"/>
        <v>193168</v>
      </c>
      <c r="R44" s="249">
        <f t="shared" si="19"/>
        <v>738868</v>
      </c>
      <c r="S44" s="222">
        <f t="shared" si="4"/>
        <v>12</v>
      </c>
    </row>
    <row r="45" spans="1:19" x14ac:dyDescent="0.25">
      <c r="A45" s="224">
        <v>13</v>
      </c>
      <c r="B45" s="245">
        <f t="shared" si="5"/>
        <v>353780.3421033959</v>
      </c>
      <c r="C45" s="245">
        <f t="shared" si="6"/>
        <v>208638.22411192799</v>
      </c>
      <c r="D45" s="245">
        <f t="shared" si="7"/>
        <v>2960</v>
      </c>
      <c r="E45" s="246">
        <f t="shared" si="8"/>
        <v>3700</v>
      </c>
      <c r="F45" s="246">
        <f t="shared" si="9"/>
        <v>4440</v>
      </c>
      <c r="H45" s="224">
        <v>13</v>
      </c>
      <c r="I45" s="245">
        <f t="shared" si="10"/>
        <v>353780.3421033959</v>
      </c>
      <c r="J45" s="245">
        <f t="shared" si="11"/>
        <v>208638.22411192799</v>
      </c>
      <c r="K45" s="245">
        <f t="shared" si="12"/>
        <v>81272.881237147987</v>
      </c>
      <c r="L45" s="245">
        <f t="shared" si="13"/>
        <v>58650.247279527997</v>
      </c>
      <c r="M45" s="241">
        <f t="shared" si="14"/>
        <v>702341.69473199977</v>
      </c>
      <c r="N45" s="247">
        <f t="shared" si="15"/>
        <v>214917</v>
      </c>
      <c r="O45" s="248">
        <f t="shared" si="16"/>
        <v>316054</v>
      </c>
      <c r="P45" s="248">
        <f t="shared" si="17"/>
        <v>160134</v>
      </c>
      <c r="Q45" s="248">
        <f t="shared" si="18"/>
        <v>168562</v>
      </c>
      <c r="R45" s="249">
        <f t="shared" si="19"/>
        <v>644750</v>
      </c>
      <c r="S45" s="222">
        <f t="shared" si="4"/>
        <v>13</v>
      </c>
    </row>
    <row r="46" spans="1:19" x14ac:dyDescent="0.25">
      <c r="A46" s="224">
        <v>14</v>
      </c>
      <c r="B46" s="245">
        <f t="shared" si="5"/>
        <v>327520.55983300798</v>
      </c>
      <c r="C46" s="245">
        <f t="shared" si="6"/>
        <v>157600.50543562</v>
      </c>
      <c r="D46" s="245">
        <f t="shared" si="7"/>
        <v>2553</v>
      </c>
      <c r="E46" s="246">
        <f t="shared" si="8"/>
        <v>3191</v>
      </c>
      <c r="F46" s="246">
        <f t="shared" si="9"/>
        <v>3830</v>
      </c>
      <c r="H46" s="224">
        <v>14</v>
      </c>
      <c r="I46" s="245">
        <f t="shared" si="10"/>
        <v>327520.55983300798</v>
      </c>
      <c r="J46" s="245">
        <f t="shared" si="11"/>
        <v>157600.50543562</v>
      </c>
      <c r="K46" s="245">
        <f t="shared" si="12"/>
        <v>80622.188266983983</v>
      </c>
      <c r="L46" s="245">
        <f t="shared" si="13"/>
        <v>58650.247279527997</v>
      </c>
      <c r="M46" s="241">
        <f t="shared" si="14"/>
        <v>624393.50081513985</v>
      </c>
      <c r="N46" s="247">
        <f t="shared" si="15"/>
        <v>191064</v>
      </c>
      <c r="O46" s="248">
        <f t="shared" si="16"/>
        <v>280977</v>
      </c>
      <c r="P46" s="248">
        <f t="shared" si="17"/>
        <v>142362</v>
      </c>
      <c r="Q46" s="248">
        <f t="shared" si="18"/>
        <v>149854</v>
      </c>
      <c r="R46" s="249">
        <f t="shared" si="19"/>
        <v>573193</v>
      </c>
      <c r="S46" s="222">
        <f t="shared" si="4"/>
        <v>14</v>
      </c>
    </row>
    <row r="47" spans="1:19" x14ac:dyDescent="0.25">
      <c r="A47" s="224">
        <v>15</v>
      </c>
      <c r="B47" s="245">
        <f t="shared" si="5"/>
        <v>303282.41899988399</v>
      </c>
      <c r="C47" s="245">
        <f t="shared" si="6"/>
        <v>126587.835522044</v>
      </c>
      <c r="D47" s="245">
        <f t="shared" si="7"/>
        <v>2262</v>
      </c>
      <c r="E47" s="246">
        <f t="shared" si="8"/>
        <v>2828</v>
      </c>
      <c r="F47" s="246">
        <f t="shared" si="9"/>
        <v>3393</v>
      </c>
      <c r="H47" s="224">
        <v>15</v>
      </c>
      <c r="I47" s="245">
        <f t="shared" si="10"/>
        <v>303282.41899988399</v>
      </c>
      <c r="J47" s="245">
        <f t="shared" si="11"/>
        <v>126587.835522044</v>
      </c>
      <c r="K47" s="245">
        <f t="shared" si="12"/>
        <v>69428.397206795984</v>
      </c>
      <c r="L47" s="245">
        <f t="shared" si="13"/>
        <v>58650.247279527997</v>
      </c>
      <c r="M47" s="241">
        <f t="shared" si="14"/>
        <v>557948.89900825196</v>
      </c>
      <c r="N47" s="247">
        <f t="shared" si="15"/>
        <v>170732</v>
      </c>
      <c r="O47" s="248">
        <f t="shared" si="16"/>
        <v>251077</v>
      </c>
      <c r="P47" s="248">
        <f t="shared" si="17"/>
        <v>127212</v>
      </c>
      <c r="Q47" s="248">
        <f t="shared" si="18"/>
        <v>133908</v>
      </c>
      <c r="R47" s="249">
        <f t="shared" si="19"/>
        <v>512197</v>
      </c>
      <c r="S47" s="222">
        <f t="shared" si="4"/>
        <v>15</v>
      </c>
    </row>
    <row r="48" spans="1:19" x14ac:dyDescent="0.25">
      <c r="A48" s="224">
        <v>16</v>
      </c>
      <c r="B48" s="245">
        <f t="shared" si="5"/>
        <v>280762.900496936</v>
      </c>
      <c r="C48" s="245">
        <f t="shared" si="6"/>
        <v>124323.99799060798</v>
      </c>
      <c r="D48" s="245">
        <f t="shared" si="7"/>
        <v>2132</v>
      </c>
      <c r="E48" s="246">
        <f t="shared" si="8"/>
        <v>2665</v>
      </c>
      <c r="F48" s="246">
        <f t="shared" si="9"/>
        <v>3198</v>
      </c>
      <c r="H48" s="224">
        <v>16</v>
      </c>
      <c r="I48" s="245">
        <f t="shared" si="10"/>
        <v>280762.900496936</v>
      </c>
      <c r="J48" s="245">
        <f t="shared" si="11"/>
        <v>124323.99799060798</v>
      </c>
      <c r="K48" s="245">
        <f t="shared" si="12"/>
        <v>73146.318831915982</v>
      </c>
      <c r="L48" s="245">
        <f t="shared" si="13"/>
        <v>58650.247279527997</v>
      </c>
      <c r="M48" s="241">
        <f t="shared" si="14"/>
        <v>536883.46459898795</v>
      </c>
      <c r="N48" s="247">
        <f t="shared" si="15"/>
        <v>164286</v>
      </c>
      <c r="O48" s="248">
        <f t="shared" si="16"/>
        <v>241598</v>
      </c>
      <c r="P48" s="248">
        <f t="shared" si="17"/>
        <v>122409</v>
      </c>
      <c r="Q48" s="248">
        <f t="shared" si="18"/>
        <v>128852</v>
      </c>
      <c r="R48" s="249">
        <f t="shared" si="19"/>
        <v>492859</v>
      </c>
      <c r="S48" s="222">
        <f>+S49-1</f>
        <v>16</v>
      </c>
    </row>
    <row r="49" spans="1:19" x14ac:dyDescent="0.25">
      <c r="A49" s="224">
        <v>17</v>
      </c>
      <c r="B49" s="245">
        <f t="shared" si="5"/>
        <v>259973.96373820797</v>
      </c>
      <c r="C49" s="245">
        <f t="shared" si="6"/>
        <v>96122.922438191992</v>
      </c>
      <c r="D49" s="245">
        <f t="shared" si="7"/>
        <v>1874</v>
      </c>
      <c r="E49" s="246">
        <f t="shared" si="8"/>
        <v>2343</v>
      </c>
      <c r="F49" s="246">
        <f t="shared" si="9"/>
        <v>2811</v>
      </c>
      <c r="H49" s="224">
        <v>17</v>
      </c>
      <c r="I49" s="245">
        <f t="shared" si="10"/>
        <v>259973.96373820797</v>
      </c>
      <c r="J49" s="245">
        <f t="shared" si="11"/>
        <v>96122.922438191992</v>
      </c>
      <c r="K49" s="245">
        <f t="shared" si="12"/>
        <v>68049.664954115986</v>
      </c>
      <c r="L49" s="245">
        <f t="shared" si="13"/>
        <v>58650.247279527997</v>
      </c>
      <c r="M49" s="241">
        <f t="shared" si="14"/>
        <v>482796.79841004394</v>
      </c>
      <c r="N49" s="247">
        <f t="shared" si="15"/>
        <v>147736</v>
      </c>
      <c r="O49" s="248">
        <f t="shared" si="16"/>
        <v>217259</v>
      </c>
      <c r="P49" s="248">
        <f t="shared" si="17"/>
        <v>110078</v>
      </c>
      <c r="Q49" s="248">
        <f t="shared" si="18"/>
        <v>115871</v>
      </c>
      <c r="R49" s="249">
        <f t="shared" si="19"/>
        <v>443208</v>
      </c>
      <c r="S49" s="222">
        <v>17</v>
      </c>
    </row>
    <row r="50" spans="1:19" x14ac:dyDescent="0.25">
      <c r="A50" s="224">
        <v>18</v>
      </c>
      <c r="B50" s="245">
        <f t="shared" si="5"/>
        <v>0</v>
      </c>
      <c r="C50" s="245">
        <f t="shared" si="6"/>
        <v>0</v>
      </c>
      <c r="D50" s="245">
        <f t="shared" si="7"/>
        <v>0</v>
      </c>
      <c r="E50" s="246">
        <f t="shared" si="8"/>
        <v>0</v>
      </c>
      <c r="F50" s="246">
        <f t="shared" si="9"/>
        <v>0</v>
      </c>
      <c r="H50" s="224">
        <v>18</v>
      </c>
      <c r="I50" s="245">
        <f t="shared" si="10"/>
        <v>0</v>
      </c>
      <c r="J50" s="245">
        <f t="shared" si="11"/>
        <v>0</v>
      </c>
      <c r="K50" s="245">
        <f t="shared" si="12"/>
        <v>0</v>
      </c>
      <c r="L50" s="245">
        <f t="shared" si="13"/>
        <v>0</v>
      </c>
      <c r="M50" s="241">
        <f t="shared" si="14"/>
        <v>0</v>
      </c>
      <c r="N50" s="247">
        <f t="shared" si="15"/>
        <v>0</v>
      </c>
      <c r="O50" s="248">
        <f t="shared" si="16"/>
        <v>0</v>
      </c>
      <c r="P50" s="248">
        <f t="shared" si="17"/>
        <v>0</v>
      </c>
      <c r="Q50" s="248">
        <f t="shared" si="18"/>
        <v>0</v>
      </c>
      <c r="R50" s="249">
        <f t="shared" si="19"/>
        <v>0</v>
      </c>
    </row>
    <row r="51" spans="1:19" x14ac:dyDescent="0.25">
      <c r="A51" s="224">
        <v>19</v>
      </c>
      <c r="B51" s="245">
        <f t="shared" si="5"/>
        <v>0</v>
      </c>
      <c r="C51" s="245">
        <f t="shared" si="6"/>
        <v>0</v>
      </c>
      <c r="D51" s="245">
        <f t="shared" si="7"/>
        <v>0</v>
      </c>
      <c r="E51" s="246">
        <f t="shared" si="8"/>
        <v>0</v>
      </c>
      <c r="F51" s="246">
        <f t="shared" si="9"/>
        <v>0</v>
      </c>
      <c r="H51" s="224">
        <v>19</v>
      </c>
      <c r="I51" s="245">
        <f t="shared" si="10"/>
        <v>0</v>
      </c>
      <c r="J51" s="245">
        <f t="shared" si="11"/>
        <v>0</v>
      </c>
      <c r="K51" s="245">
        <f t="shared" si="12"/>
        <v>0</v>
      </c>
      <c r="L51" s="245">
        <f t="shared" si="13"/>
        <v>0</v>
      </c>
      <c r="M51" s="241">
        <f t="shared" si="14"/>
        <v>0</v>
      </c>
      <c r="N51" s="247">
        <f t="shared" si="15"/>
        <v>0</v>
      </c>
      <c r="O51" s="248">
        <f t="shared" si="16"/>
        <v>0</v>
      </c>
      <c r="P51" s="248">
        <f t="shared" si="17"/>
        <v>0</v>
      </c>
      <c r="Q51" s="248">
        <f t="shared" si="18"/>
        <v>0</v>
      </c>
      <c r="R51" s="249">
        <f t="shared" si="19"/>
        <v>0</v>
      </c>
    </row>
    <row r="52" spans="1:19" x14ac:dyDescent="0.25">
      <c r="A52" s="224">
        <v>20</v>
      </c>
      <c r="B52" s="245">
        <f t="shared" si="5"/>
        <v>0</v>
      </c>
      <c r="C52" s="245">
        <f t="shared" si="6"/>
        <v>0</v>
      </c>
      <c r="D52" s="245">
        <f t="shared" si="7"/>
        <v>0</v>
      </c>
      <c r="E52" s="246">
        <f t="shared" si="8"/>
        <v>0</v>
      </c>
      <c r="F52" s="246">
        <f t="shared" si="9"/>
        <v>0</v>
      </c>
      <c r="H52" s="224">
        <v>20</v>
      </c>
      <c r="I52" s="245">
        <f t="shared" si="10"/>
        <v>0</v>
      </c>
      <c r="J52" s="245">
        <f t="shared" si="11"/>
        <v>0</v>
      </c>
      <c r="K52" s="245">
        <f t="shared" si="12"/>
        <v>0</v>
      </c>
      <c r="L52" s="245">
        <f t="shared" si="13"/>
        <v>0</v>
      </c>
      <c r="M52" s="241">
        <f t="shared" si="14"/>
        <v>0</v>
      </c>
      <c r="N52" s="247">
        <f t="shared" si="15"/>
        <v>0</v>
      </c>
      <c r="O52" s="248">
        <f t="shared" si="16"/>
        <v>0</v>
      </c>
      <c r="P52" s="248">
        <f t="shared" si="17"/>
        <v>0</v>
      </c>
      <c r="Q52" s="248">
        <f t="shared" si="18"/>
        <v>0</v>
      </c>
      <c r="R52" s="249">
        <f t="shared" si="19"/>
        <v>0</v>
      </c>
    </row>
    <row r="53" spans="1:19" x14ac:dyDescent="0.25">
      <c r="E53" s="222"/>
      <c r="F53" s="222"/>
    </row>
    <row r="54" spans="1:19" x14ac:dyDescent="0.25">
      <c r="E54" s="222"/>
      <c r="F54" s="222"/>
      <c r="G54" s="222"/>
    </row>
    <row r="55" spans="1:19" x14ac:dyDescent="0.25">
      <c r="E55" s="222"/>
      <c r="F55" s="222"/>
      <c r="G55" s="222"/>
    </row>
    <row r="56" spans="1:19" x14ac:dyDescent="0.25">
      <c r="E56" s="222"/>
      <c r="F56" s="222"/>
      <c r="G56" s="222"/>
    </row>
    <row r="57" spans="1:19" x14ac:dyDescent="0.25">
      <c r="E57" s="222">
        <v>40</v>
      </c>
      <c r="F57" s="222">
        <f>+E57*E41</f>
        <v>301640</v>
      </c>
      <c r="G57" s="222"/>
    </row>
    <row r="58" spans="1:19" x14ac:dyDescent="0.25">
      <c r="E58" s="220">
        <v>40</v>
      </c>
      <c r="F58" s="268">
        <f>+E58*F41</f>
        <v>362000</v>
      </c>
    </row>
    <row r="59" spans="1:19" x14ac:dyDescent="0.25">
      <c r="F59" s="222">
        <f>SUM(F57:F58)</f>
        <v>663640</v>
      </c>
    </row>
    <row r="60" spans="1:19" x14ac:dyDescent="0.25">
      <c r="E60" s="220">
        <v>30</v>
      </c>
      <c r="F60" s="268">
        <f>+E60*F41</f>
        <v>271500</v>
      </c>
    </row>
    <row r="61" spans="1:19" x14ac:dyDescent="0.25">
      <c r="F61" s="222">
        <f>SUM(F59:F60)</f>
        <v>935140</v>
      </c>
      <c r="G61" s="220" t="s">
        <v>88</v>
      </c>
    </row>
    <row r="62" spans="1:19" x14ac:dyDescent="0.25">
      <c r="F62" s="220">
        <v>1100000</v>
      </c>
      <c r="G62" s="220" t="s">
        <v>86</v>
      </c>
    </row>
    <row r="63" spans="1:19" x14ac:dyDescent="0.25">
      <c r="F63" s="220">
        <v>1600000</v>
      </c>
      <c r="G63" s="220" t="s">
        <v>87</v>
      </c>
    </row>
    <row r="64" spans="1:19" x14ac:dyDescent="0.25">
      <c r="F64" s="222">
        <f>SUM(F61:F63)</f>
        <v>3635140</v>
      </c>
    </row>
    <row r="65" spans="6:7" x14ac:dyDescent="0.25">
      <c r="F65" s="220">
        <v>-300000</v>
      </c>
      <c r="G65" s="220" t="s">
        <v>84</v>
      </c>
    </row>
    <row r="66" spans="6:7" x14ac:dyDescent="0.25">
      <c r="F66" s="220">
        <v>-250000</v>
      </c>
    </row>
    <row r="67" spans="6:7" x14ac:dyDescent="0.25">
      <c r="F67" s="256">
        <v>-2000000</v>
      </c>
      <c r="G67" s="220" t="s">
        <v>85</v>
      </c>
    </row>
    <row r="68" spans="6:7" x14ac:dyDescent="0.25">
      <c r="F68" s="222">
        <f>SUM(F64:F67)</f>
        <v>1085140</v>
      </c>
    </row>
  </sheetData>
  <autoFilter ref="B3:Q23" xr:uid="{00000000-0009-0000-0000-000008000000}"/>
  <mergeCells count="11">
    <mergeCell ref="N31:R31"/>
    <mergeCell ref="C1:Q1"/>
    <mergeCell ref="A29:F29"/>
    <mergeCell ref="H29:R29"/>
    <mergeCell ref="A31:A32"/>
    <mergeCell ref="B31:B32"/>
    <mergeCell ref="C31:C32"/>
    <mergeCell ref="D31:F31"/>
    <mergeCell ref="H31:H32"/>
    <mergeCell ref="I31:L31"/>
    <mergeCell ref="M31:M32"/>
  </mergeCells>
  <pageMargins left="0.51181102362204722" right="0.51181102362204722" top="0.35433070866141736" bottom="0.35433070866141736" header="0.31496062992125984" footer="0.31496062992125984"/>
  <pageSetup paperSize="300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Tabla Homol.Dic.2015-Nov.2016</vt:lpstr>
      <vt:lpstr>Tabla Homol.Dic.2016-Nov.2017</vt:lpstr>
      <vt:lpstr>Hoja2</vt:lpstr>
      <vt:lpstr>EUS 2017</vt:lpstr>
      <vt:lpstr>EUS 2018</vt:lpstr>
      <vt:lpstr>EUS 2019 </vt:lpstr>
      <vt:lpstr>EUS 2020</vt:lpstr>
      <vt:lpstr>EUS 2021</vt:lpstr>
      <vt:lpstr>EUS 2022</vt:lpstr>
      <vt:lpstr>EUS 2023</vt:lpstr>
      <vt:lpstr>EUS 2024</vt:lpstr>
      <vt:lpstr>EUS 2024 OK</vt:lpstr>
      <vt:lpstr>'EUS 2017'!Área_de_impresión</vt:lpstr>
      <vt:lpstr>'EUS 2018'!Área_de_impresión</vt:lpstr>
      <vt:lpstr>'EUS 2019 '!Área_de_impresión</vt:lpstr>
      <vt:lpstr>'EUS 2023'!Área_de_impresión</vt:lpstr>
      <vt:lpstr>'Tabla Homol.Dic.2015-Nov.2016'!Área_de_impresión</vt:lpstr>
      <vt:lpstr>'Tabla Homol.Dic.2016-Nov.2017'!Área_de_impresión</vt:lpstr>
      <vt:lpstr>'Tabla Homol.Dic.2016-Nov.2017'!Escala_2016</vt:lpstr>
      <vt:lpstr>Escala_2016</vt:lpstr>
      <vt:lpstr>'EUS 2018'!Escala2014</vt:lpstr>
      <vt:lpstr>'EUS 2019 '!Escala2014</vt:lpstr>
      <vt:lpstr>'Tabla Homol.Dic.2015-Nov.2016'!Escala2014</vt:lpstr>
      <vt:lpstr>'Tabla Homol.Dic.2016-Nov.2017'!Escala2014</vt:lpstr>
      <vt:lpstr>'Tabla Homol.Dic.2016-Nov.2017'!EUS_2016</vt:lpstr>
      <vt:lpstr>EUS_2016</vt:lpstr>
      <vt:lpstr>'Tabla Homol.Dic.2015-Nov.2016'!GRADOS</vt:lpstr>
      <vt:lpstr>'Tabla Homol.Dic.2016-Nov.2017'!GRADOS</vt:lpstr>
      <vt:lpstr>'Tabla Homol.Dic.2015-Nov.2016'!GRADOS2014</vt:lpstr>
      <vt:lpstr>'Tabla Homol.Dic.2016-Nov.2017'!GRADOS2014</vt:lpstr>
      <vt:lpstr>'Tabla Homol.Dic.2015-Nov.2016'!Grados2015</vt:lpstr>
      <vt:lpstr>'Tabla Homol.Dic.2016-Nov.2017'!Grados2015</vt:lpstr>
      <vt:lpstr>'Tabla Homol.Dic.2015-Nov.2016'!Print_Area</vt:lpstr>
      <vt:lpstr>'Tabla Homol.Dic.2016-Nov.2017'!Print_Area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Gacitúa</dc:creator>
  <cp:lastModifiedBy>Miguel Ramírez</cp:lastModifiedBy>
  <cp:lastPrinted>2022-12-07T20:42:36Z</cp:lastPrinted>
  <dcterms:created xsi:type="dcterms:W3CDTF">2016-11-17T19:11:21Z</dcterms:created>
  <dcterms:modified xsi:type="dcterms:W3CDTF">2024-02-29T10:28:51Z</dcterms:modified>
</cp:coreProperties>
</file>